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/>
  <xr:revisionPtr revIDLastSave="0" documentId="13_ncr:1_{27E7DB82-5A1E-4DD2-92A1-2840BC88164D}" xr6:coauthVersionLast="36" xr6:coauthVersionMax="36" xr10:uidLastSave="{00000000-0000-0000-0000-000000000000}"/>
  <bookViews>
    <workbookView xWindow="0" yWindow="0" windowWidth="12960" windowHeight="5805" tabRatio="603" xr2:uid="{00000000-000D-0000-FFFF-FFFF00000000}"/>
  </bookViews>
  <sheets>
    <sheet name="بورصة عمان" sheetId="9" r:id="rId1"/>
    <sheet name="59a" sheetId="2" r:id="rId2"/>
    <sheet name="59b" sheetId="3" r:id="rId3"/>
    <sheet name="60a" sheetId="5" r:id="rId4"/>
    <sheet name="60b" sheetId="6" r:id="rId5"/>
    <sheet name="61" sheetId="4" r:id="rId6"/>
    <sheet name="62a" sheetId="7" r:id="rId7"/>
    <sheet name="62b" sheetId="8" r:id="rId8"/>
  </sheets>
  <externalReferences>
    <externalReference r:id="rId9"/>
  </externalReferences>
  <definedNames>
    <definedName name="FrequencyList">'[1]Report Form'!$F$4:$F$8</definedName>
    <definedName name="PeriodList">'[1]Report Form'!$E$4:$E$76</definedName>
    <definedName name="_xlnm.Print_Area" localSheetId="1">'59a'!$B$3:$P$303</definedName>
    <definedName name="_xlnm.Print_Area" localSheetId="2">'59b'!$B$1:$O$301</definedName>
    <definedName name="_xlnm.Print_Area" localSheetId="3">'60a'!$B$2:$P$299</definedName>
    <definedName name="_xlnm.Print_Area" localSheetId="4">'60b'!$B$2:$P$300</definedName>
    <definedName name="_xlnm.Print_Area" localSheetId="5">'61'!$B$3:$L$387</definedName>
    <definedName name="_xlnm.Print_Area" localSheetId="6">'62a'!$A$1:$P$33</definedName>
    <definedName name="_xlnm.Print_Area" localSheetId="7">'62b'!$A$1:$O$33</definedName>
    <definedName name="_xlnm.Print_Area" localSheetId="0">'بورصة عمان'!$B$3:$D$12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3" i="4" l="1"/>
  <c r="F383" i="4"/>
  <c r="H383" i="4"/>
  <c r="J383" i="4"/>
  <c r="L383" i="4"/>
  <c r="P295" i="6"/>
  <c r="N295" i="3"/>
  <c r="O295" i="3"/>
  <c r="N294" i="3"/>
  <c r="O294" i="3"/>
  <c r="P296" i="2"/>
  <c r="G296" i="2"/>
  <c r="P295" i="2"/>
  <c r="G295" i="2"/>
  <c r="L382" i="4"/>
  <c r="J382" i="4"/>
  <c r="H382" i="4"/>
  <c r="F382" i="4"/>
  <c r="D382" i="4"/>
  <c r="P294" i="6"/>
  <c r="L381" i="4"/>
  <c r="J381" i="4"/>
  <c r="H381" i="4"/>
  <c r="F381" i="4"/>
  <c r="D381" i="4"/>
  <c r="P293" i="6"/>
  <c r="N293" i="3"/>
  <c r="P294" i="2"/>
  <c r="G294" i="2"/>
  <c r="O293" i="3"/>
  <c r="L380" i="4"/>
  <c r="J380" i="4"/>
  <c r="H380" i="4"/>
  <c r="F380" i="4"/>
  <c r="D380" i="4"/>
  <c r="P292" i="6"/>
  <c r="N292" i="3"/>
  <c r="P293" i="2"/>
  <c r="O292" i="3"/>
  <c r="G293" i="2"/>
  <c r="L379" i="4"/>
  <c r="J379" i="4"/>
  <c r="H379" i="4"/>
  <c r="F379" i="4"/>
  <c r="D379" i="4"/>
  <c r="P291" i="6"/>
  <c r="N291" i="3"/>
  <c r="P292" i="2"/>
  <c r="G292" i="2"/>
  <c r="O291" i="3"/>
  <c r="P290" i="6"/>
  <c r="L378" i="4"/>
  <c r="J378" i="4"/>
  <c r="H378" i="4"/>
  <c r="F378" i="4"/>
  <c r="D378" i="4"/>
  <c r="N290" i="3"/>
  <c r="P291" i="2"/>
  <c r="G291" i="2"/>
  <c r="O290" i="3"/>
  <c r="L377" i="4"/>
  <c r="D377" i="4"/>
  <c r="J377" i="4"/>
  <c r="H377" i="4"/>
  <c r="F377" i="4"/>
  <c r="P286" i="6"/>
  <c r="P289" i="6"/>
  <c r="N289" i="3"/>
  <c r="P290" i="2"/>
  <c r="G290" i="2"/>
  <c r="O289" i="3"/>
  <c r="D376" i="4"/>
  <c r="F376" i="4"/>
  <c r="H376" i="4"/>
  <c r="J376" i="4"/>
  <c r="L376" i="4"/>
  <c r="L374" i="4"/>
  <c r="P288" i="6"/>
  <c r="P275" i="6"/>
  <c r="N288" i="3"/>
  <c r="O288" i="3"/>
  <c r="P289" i="2"/>
  <c r="G289" i="2"/>
  <c r="L37" i="4"/>
  <c r="J37" i="4"/>
  <c r="H37" i="4"/>
  <c r="F37" i="4"/>
  <c r="D36" i="4"/>
  <c r="D37" i="4"/>
  <c r="H374" i="4"/>
  <c r="F374" i="4"/>
  <c r="D374" i="4"/>
  <c r="J374" i="4"/>
  <c r="N286" i="3"/>
  <c r="P287" i="2"/>
  <c r="G287" i="2"/>
  <c r="O286" i="3"/>
  <c r="N285" i="3"/>
  <c r="L373" i="4"/>
  <c r="J373" i="4"/>
  <c r="H373" i="4"/>
  <c r="F373" i="4"/>
  <c r="D373" i="4"/>
  <c r="P285" i="6"/>
  <c r="P286" i="2"/>
  <c r="G286" i="2"/>
  <c r="O285" i="3"/>
  <c r="L372" i="4"/>
  <c r="J372" i="4"/>
  <c r="H372" i="4"/>
  <c r="F372" i="4"/>
  <c r="D372" i="4"/>
  <c r="P284" i="6"/>
  <c r="N284" i="3"/>
  <c r="P285" i="2"/>
  <c r="G285" i="2"/>
  <c r="O284" i="3"/>
  <c r="L371" i="4"/>
  <c r="J371" i="4"/>
  <c r="H371" i="4"/>
  <c r="F371" i="4"/>
  <c r="D371" i="4"/>
  <c r="P283" i="6"/>
  <c r="N283" i="3"/>
  <c r="P284" i="2"/>
  <c r="G284" i="2"/>
  <c r="O283" i="3"/>
  <c r="D370" i="4"/>
  <c r="F370" i="4"/>
  <c r="H370" i="4"/>
  <c r="J370" i="4"/>
  <c r="L370" i="4"/>
  <c r="P282" i="6"/>
  <c r="N282" i="3"/>
  <c r="P283" i="2"/>
  <c r="G283" i="2"/>
  <c r="O282" i="3"/>
  <c r="L369" i="4"/>
  <c r="J369" i="4"/>
  <c r="H369" i="4"/>
  <c r="F369" i="4"/>
  <c r="D369" i="4"/>
  <c r="P281" i="6"/>
  <c r="N281" i="3"/>
  <c r="G282" i="2"/>
  <c r="G281" i="2"/>
  <c r="P282" i="2"/>
  <c r="O281" i="3"/>
  <c r="L368" i="4"/>
  <c r="D368" i="4"/>
  <c r="F368" i="4"/>
  <c r="H368" i="4"/>
  <c r="J368" i="4"/>
  <c r="D367" i="4"/>
  <c r="P280" i="6"/>
  <c r="P279" i="6"/>
  <c r="N280" i="3"/>
  <c r="P281" i="2"/>
  <c r="P280" i="2"/>
  <c r="O280" i="3"/>
  <c r="L367" i="4"/>
  <c r="J367" i="4"/>
  <c r="H367" i="4"/>
  <c r="F367" i="4"/>
  <c r="N279" i="3"/>
  <c r="G280" i="2"/>
  <c r="O279" i="3"/>
  <c r="L366" i="4"/>
  <c r="J366" i="4"/>
  <c r="H366" i="4"/>
  <c r="F366" i="4"/>
  <c r="D366" i="4"/>
  <c r="P278" i="6"/>
  <c r="N278" i="3"/>
  <c r="P279" i="2"/>
  <c r="G279" i="2"/>
  <c r="O278" i="3"/>
  <c r="L365" i="4"/>
  <c r="J365" i="4"/>
  <c r="H365" i="4"/>
  <c r="F365" i="4"/>
  <c r="D365" i="4"/>
  <c r="P277" i="6"/>
  <c r="N277" i="3"/>
  <c r="P278" i="2"/>
  <c r="G278" i="2"/>
  <c r="O277" i="3"/>
  <c r="D364" i="4"/>
  <c r="F364" i="4"/>
  <c r="H364" i="4"/>
  <c r="J364" i="4"/>
  <c r="L364" i="4"/>
  <c r="D361" i="4"/>
  <c r="P276" i="6"/>
  <c r="P273" i="6"/>
  <c r="N276" i="3"/>
  <c r="P277" i="2"/>
  <c r="G277" i="2"/>
  <c r="O276" i="3"/>
  <c r="J352" i="4"/>
  <c r="F352" i="4"/>
  <c r="D352" i="4"/>
  <c r="D351" i="4"/>
  <c r="D363" i="4"/>
  <c r="F363" i="4"/>
  <c r="H363" i="4"/>
  <c r="J363" i="4"/>
  <c r="L361" i="4"/>
  <c r="L363" i="4"/>
  <c r="N275" i="3"/>
  <c r="P276" i="2"/>
  <c r="G276" i="2"/>
  <c r="O275" i="3"/>
  <c r="F36" i="4"/>
  <c r="H36" i="4"/>
  <c r="J36" i="4"/>
  <c r="L36" i="4"/>
  <c r="F361" i="4"/>
  <c r="H361" i="4"/>
  <c r="J361" i="4"/>
  <c r="N273" i="3"/>
  <c r="P274" i="2"/>
  <c r="G274" i="2"/>
  <c r="O273" i="3"/>
  <c r="L360" i="4"/>
  <c r="J360" i="4"/>
  <c r="H360" i="4"/>
  <c r="F360" i="4"/>
  <c r="D360" i="4"/>
  <c r="P272" i="6"/>
  <c r="N272" i="3"/>
  <c r="P273" i="2"/>
  <c r="G273" i="2"/>
  <c r="O272" i="3"/>
  <c r="D359" i="4"/>
  <c r="F359" i="4"/>
  <c r="H359" i="4"/>
  <c r="J359" i="4"/>
  <c r="L359" i="4"/>
  <c r="N271" i="3"/>
  <c r="P272" i="2"/>
  <c r="G272" i="2"/>
  <c r="O271" i="3"/>
  <c r="P271" i="6"/>
  <c r="P270" i="6"/>
  <c r="P269" i="6"/>
  <c r="G269" i="2"/>
  <c r="G270" i="2"/>
  <c r="G271" i="2"/>
  <c r="P270" i="2"/>
  <c r="P271" i="2"/>
  <c r="N269" i="3"/>
  <c r="O269" i="3"/>
  <c r="L358" i="4"/>
  <c r="J358" i="4"/>
  <c r="H358" i="4"/>
  <c r="F358" i="4"/>
  <c r="D358" i="4"/>
  <c r="N270" i="3"/>
  <c r="O270" i="3"/>
  <c r="L357" i="4"/>
  <c r="J357" i="4"/>
  <c r="H357" i="4"/>
  <c r="F357" i="4"/>
  <c r="D357" i="4"/>
  <c r="D356" i="4"/>
  <c r="P268" i="6"/>
  <c r="F356" i="4"/>
  <c r="H356" i="4"/>
  <c r="J356" i="4"/>
  <c r="L356" i="4"/>
  <c r="P267" i="6"/>
  <c r="N268" i="3"/>
  <c r="P269" i="2"/>
  <c r="P268" i="2"/>
  <c r="L355" i="4"/>
  <c r="J355" i="4"/>
  <c r="H355" i="4"/>
  <c r="F355" i="4"/>
  <c r="D355" i="4"/>
  <c r="D354" i="4"/>
  <c r="P266" i="6"/>
  <c r="N267" i="3"/>
  <c r="G268" i="2"/>
  <c r="L354" i="4"/>
  <c r="J354" i="4"/>
  <c r="H354" i="4"/>
  <c r="F354" i="4"/>
  <c r="N266" i="3"/>
  <c r="P267" i="2"/>
  <c r="G267" i="2"/>
  <c r="L353" i="4"/>
  <c r="J353" i="4"/>
  <c r="H353" i="4"/>
  <c r="F353" i="4"/>
  <c r="D353" i="4"/>
  <c r="P265" i="6"/>
  <c r="N265" i="3"/>
  <c r="P266" i="2"/>
  <c r="G266" i="2"/>
  <c r="L352" i="4"/>
  <c r="H352" i="4"/>
  <c r="P264" i="6"/>
  <c r="N264" i="3"/>
  <c r="G265" i="2"/>
  <c r="P265" i="2"/>
  <c r="L351" i="4"/>
  <c r="J351" i="4"/>
  <c r="H351" i="4"/>
  <c r="F351" i="4"/>
  <c r="P262" i="6"/>
  <c r="P263" i="6"/>
  <c r="N263" i="3"/>
  <c r="P264" i="2"/>
  <c r="G264" i="2"/>
  <c r="N262" i="3"/>
  <c r="N260" i="3"/>
  <c r="N259" i="3"/>
  <c r="N258" i="3"/>
  <c r="P263" i="2"/>
  <c r="P261" i="2"/>
  <c r="P260" i="2"/>
  <c r="P259" i="2"/>
  <c r="P257" i="2"/>
  <c r="G263" i="2"/>
  <c r="G261" i="2"/>
  <c r="G260" i="2"/>
  <c r="G259" i="2"/>
  <c r="G258" i="2"/>
  <c r="P234" i="6"/>
  <c r="P233" i="6"/>
  <c r="P232" i="6"/>
  <c r="P231" i="6"/>
  <c r="P230" i="6"/>
  <c r="P229" i="6"/>
  <c r="P228" i="6"/>
  <c r="P227" i="6"/>
  <c r="P226" i="6"/>
  <c r="P225" i="6"/>
  <c r="P224" i="6"/>
  <c r="P223" i="6"/>
  <c r="P211" i="6"/>
  <c r="P221" i="6"/>
  <c r="P220" i="6"/>
  <c r="P219" i="6"/>
  <c r="P218" i="6"/>
  <c r="P217" i="6"/>
  <c r="P216" i="6"/>
  <c r="P215" i="6"/>
  <c r="P214" i="6"/>
  <c r="P213" i="6"/>
  <c r="P212" i="6"/>
  <c r="P209" i="6"/>
  <c r="P208" i="6"/>
  <c r="P207" i="6"/>
  <c r="P206" i="6"/>
  <c r="P205" i="6"/>
  <c r="P204" i="6"/>
  <c r="P203" i="6"/>
  <c r="P202" i="6"/>
  <c r="P201" i="6"/>
  <c r="P200" i="6"/>
  <c r="P199" i="6"/>
  <c r="P198" i="6"/>
  <c r="P196" i="6"/>
  <c r="P195" i="6"/>
  <c r="P194" i="6"/>
  <c r="P193" i="6"/>
  <c r="P192" i="6"/>
  <c r="P191" i="6"/>
  <c r="P190" i="6"/>
  <c r="P189" i="6"/>
  <c r="P188" i="6"/>
  <c r="P187" i="6"/>
  <c r="P186" i="6"/>
  <c r="P185" i="6"/>
  <c r="P183" i="6"/>
  <c r="P182" i="6"/>
  <c r="P181" i="6"/>
  <c r="P180" i="6"/>
  <c r="P179" i="6"/>
  <c r="P178" i="6"/>
  <c r="P177" i="6"/>
  <c r="P176" i="6"/>
  <c r="P175" i="6"/>
  <c r="P174" i="6"/>
  <c r="P173" i="6"/>
  <c r="P172" i="6"/>
  <c r="P170" i="6"/>
  <c r="P169" i="6"/>
  <c r="P168" i="6"/>
  <c r="P167" i="6"/>
  <c r="P166" i="6"/>
  <c r="P165" i="6"/>
  <c r="P164" i="6"/>
  <c r="P163" i="6"/>
  <c r="P162" i="6"/>
  <c r="P161" i="6"/>
  <c r="P160" i="6"/>
  <c r="P159" i="6"/>
  <c r="P157" i="6"/>
  <c r="P156" i="6"/>
  <c r="P155" i="6"/>
  <c r="P154" i="6"/>
  <c r="P153" i="6"/>
  <c r="P152" i="6"/>
  <c r="P151" i="6"/>
  <c r="P150" i="6"/>
  <c r="P149" i="6"/>
  <c r="P148" i="6"/>
  <c r="P147" i="6"/>
  <c r="P146" i="6"/>
  <c r="P144" i="6"/>
  <c r="P143" i="6"/>
  <c r="P142" i="6"/>
  <c r="P141" i="6"/>
  <c r="P140" i="6"/>
  <c r="P139" i="6"/>
  <c r="P138" i="6"/>
  <c r="P137" i="6"/>
  <c r="P136" i="6"/>
  <c r="P135" i="6"/>
  <c r="P134" i="6"/>
  <c r="P133" i="6"/>
  <c r="P131" i="6"/>
  <c r="P130" i="6"/>
  <c r="P129" i="6"/>
  <c r="P128" i="6"/>
  <c r="P127" i="6"/>
  <c r="P126" i="6"/>
  <c r="P125" i="6"/>
  <c r="P124" i="6"/>
  <c r="P123" i="6"/>
  <c r="P122" i="6"/>
  <c r="P121" i="6"/>
  <c r="P120" i="6"/>
  <c r="P118" i="6"/>
  <c r="P117" i="6"/>
  <c r="P116" i="6"/>
  <c r="P115" i="6"/>
  <c r="P114" i="6"/>
  <c r="P113" i="6"/>
  <c r="P112" i="6"/>
  <c r="P111" i="6"/>
  <c r="P110" i="6"/>
  <c r="P109" i="6"/>
  <c r="P108" i="6"/>
  <c r="P107" i="6"/>
  <c r="P105" i="6"/>
  <c r="P104" i="6"/>
  <c r="P103" i="6"/>
  <c r="P102" i="6"/>
  <c r="P101" i="6"/>
  <c r="P100" i="6"/>
  <c r="P99" i="6"/>
  <c r="P98" i="6"/>
  <c r="P97" i="6"/>
  <c r="P96" i="6"/>
  <c r="P95" i="6"/>
  <c r="P94" i="6"/>
  <c r="P92" i="6"/>
  <c r="P91" i="6"/>
  <c r="P90" i="6"/>
  <c r="P89" i="6"/>
  <c r="P88" i="6"/>
  <c r="P87" i="6"/>
  <c r="P86" i="6"/>
  <c r="P85" i="6"/>
  <c r="P84" i="6"/>
  <c r="P83" i="6"/>
  <c r="P82" i="6"/>
  <c r="P81" i="6"/>
  <c r="P79" i="6"/>
  <c r="P78" i="6"/>
  <c r="P77" i="6"/>
  <c r="P76" i="6"/>
  <c r="P75" i="6"/>
  <c r="P74" i="6"/>
  <c r="P73" i="6"/>
  <c r="P72" i="6"/>
  <c r="P71" i="6"/>
  <c r="P70" i="6"/>
  <c r="P69" i="6"/>
  <c r="P68" i="6"/>
  <c r="P66" i="6"/>
  <c r="P65" i="6"/>
  <c r="P64" i="6"/>
  <c r="P63" i="6"/>
  <c r="P62" i="6"/>
  <c r="P61" i="6"/>
  <c r="P60" i="6"/>
  <c r="P59" i="6"/>
  <c r="P58" i="6"/>
  <c r="P57" i="6"/>
  <c r="P56" i="6"/>
  <c r="P55" i="6"/>
  <c r="P42" i="6"/>
  <c r="P53" i="6"/>
  <c r="P52" i="6"/>
  <c r="P51" i="6"/>
  <c r="P50" i="6"/>
  <c r="P49" i="6"/>
  <c r="P48" i="6"/>
  <c r="P47" i="6"/>
  <c r="P46" i="6"/>
  <c r="P45" i="6"/>
  <c r="P44" i="6"/>
  <c r="P43" i="6"/>
  <c r="P236" i="6"/>
  <c r="P244" i="6"/>
  <c r="P245" i="6"/>
  <c r="P246" i="6"/>
  <c r="P247" i="6"/>
  <c r="P243" i="6"/>
  <c r="P242" i="6"/>
  <c r="P239" i="6"/>
  <c r="P238" i="6"/>
  <c r="P237" i="6"/>
  <c r="P241" i="6"/>
  <c r="P240" i="6"/>
  <c r="P249" i="6"/>
  <c r="P256" i="6"/>
  <c r="P255" i="6"/>
  <c r="P254" i="6"/>
  <c r="P253" i="6"/>
  <c r="P252" i="6"/>
  <c r="P251" i="6"/>
  <c r="P250" i="6"/>
  <c r="P257" i="6"/>
  <c r="N257" i="3"/>
  <c r="N256" i="3"/>
  <c r="N255" i="3"/>
  <c r="P258" i="2"/>
  <c r="P256" i="2"/>
  <c r="G257" i="2"/>
  <c r="G256" i="2"/>
  <c r="N254" i="3"/>
  <c r="N253" i="3"/>
  <c r="N252" i="3"/>
  <c r="N251" i="3"/>
  <c r="N250" i="3"/>
  <c r="N249" i="3"/>
  <c r="N247" i="3"/>
  <c r="N246" i="3"/>
  <c r="N245" i="3"/>
  <c r="N244" i="3"/>
  <c r="N243" i="3"/>
  <c r="N242" i="3"/>
  <c r="N241" i="3"/>
  <c r="N240" i="3"/>
  <c r="N239" i="3"/>
  <c r="N238" i="3"/>
  <c r="N237" i="3"/>
  <c r="N236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1" i="3"/>
  <c r="N220" i="3"/>
  <c r="N219" i="3"/>
  <c r="N218" i="3"/>
  <c r="N217" i="3"/>
  <c r="N216" i="3"/>
  <c r="N215" i="3"/>
  <c r="N214" i="3"/>
  <c r="N213" i="3"/>
  <c r="N212" i="3"/>
  <c r="N211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G173" i="2"/>
  <c r="P173" i="2"/>
  <c r="N183" i="3"/>
  <c r="N182" i="3"/>
  <c r="N181" i="3"/>
  <c r="N180" i="3"/>
  <c r="H179" i="3"/>
  <c r="N179" i="3"/>
  <c r="N178" i="3"/>
  <c r="N177" i="3"/>
  <c r="N176" i="3"/>
  <c r="N175" i="3"/>
  <c r="N174" i="3"/>
  <c r="N173" i="3"/>
  <c r="N172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O154" i="3"/>
  <c r="N157" i="3"/>
  <c r="N156" i="3"/>
  <c r="N155" i="3"/>
  <c r="N153" i="3"/>
  <c r="L152" i="3"/>
  <c r="N152" i="3"/>
  <c r="L151" i="3"/>
  <c r="N151" i="3"/>
  <c r="M150" i="3"/>
  <c r="N150" i="3"/>
  <c r="L149" i="3"/>
  <c r="N149" i="3"/>
  <c r="N148" i="3"/>
  <c r="N147" i="3"/>
  <c r="M146" i="3"/>
  <c r="N146" i="3"/>
  <c r="L144" i="3"/>
  <c r="N144" i="3"/>
  <c r="N143" i="3"/>
  <c r="N142" i="3"/>
  <c r="N141" i="3"/>
  <c r="N140" i="3"/>
  <c r="N139" i="3"/>
  <c r="N138" i="3"/>
  <c r="D137" i="3"/>
  <c r="N137" i="3"/>
  <c r="N136" i="3"/>
  <c r="N135" i="3"/>
  <c r="N134" i="3"/>
  <c r="N133" i="3"/>
  <c r="N131" i="3"/>
  <c r="D130" i="3"/>
  <c r="N130" i="3"/>
  <c r="J129" i="3"/>
  <c r="C129" i="3"/>
  <c r="N128" i="3"/>
  <c r="K126" i="3"/>
  <c r="N126" i="3"/>
  <c r="N125" i="3"/>
  <c r="N124" i="3"/>
  <c r="N123" i="3"/>
  <c r="N122" i="3"/>
  <c r="G121" i="3"/>
  <c r="N121" i="3"/>
  <c r="N120" i="3"/>
  <c r="N107" i="3"/>
  <c r="N109" i="3"/>
  <c r="N110" i="3"/>
  <c r="N111" i="3"/>
  <c r="N112" i="3"/>
  <c r="N114" i="3"/>
  <c r="N115" i="3"/>
  <c r="N116" i="3"/>
  <c r="N117" i="3"/>
  <c r="N118" i="3"/>
  <c r="D113" i="3"/>
  <c r="N113" i="3"/>
  <c r="K108" i="3"/>
  <c r="N108" i="3"/>
  <c r="N105" i="3"/>
  <c r="N104" i="3"/>
  <c r="N103" i="3"/>
  <c r="N102" i="3"/>
  <c r="N101" i="3"/>
  <c r="N100" i="3"/>
  <c r="N99" i="3"/>
  <c r="N98" i="3"/>
  <c r="N97" i="3"/>
  <c r="K96" i="3"/>
  <c r="H96" i="3"/>
  <c r="D96" i="3"/>
  <c r="K95" i="3"/>
  <c r="N95" i="3"/>
  <c r="K94" i="3"/>
  <c r="N94" i="3"/>
  <c r="K92" i="3"/>
  <c r="N92" i="3"/>
  <c r="D91" i="3"/>
  <c r="N91" i="3"/>
  <c r="L90" i="3"/>
  <c r="N90" i="3"/>
  <c r="M89" i="3"/>
  <c r="N89" i="3"/>
  <c r="N88" i="3"/>
  <c r="N87" i="3"/>
  <c r="K86" i="3"/>
  <c r="D86" i="3"/>
  <c r="N85" i="3"/>
  <c r="M84" i="3"/>
  <c r="L84" i="3"/>
  <c r="K84" i="3"/>
  <c r="J84" i="3"/>
  <c r="I84" i="3"/>
  <c r="H84" i="3"/>
  <c r="G84" i="3"/>
  <c r="F84" i="3"/>
  <c r="E84" i="3"/>
  <c r="D84" i="3"/>
  <c r="C84" i="3"/>
  <c r="M83" i="3"/>
  <c r="L83" i="3"/>
  <c r="K83" i="3"/>
  <c r="J83" i="3"/>
  <c r="I83" i="3"/>
  <c r="H83" i="3"/>
  <c r="G83" i="3"/>
  <c r="E83" i="3"/>
  <c r="D83" i="3"/>
  <c r="C83" i="3"/>
  <c r="N82" i="3"/>
  <c r="M81" i="3"/>
  <c r="K81" i="3"/>
  <c r="J81" i="3"/>
  <c r="I81" i="3"/>
  <c r="H81" i="3"/>
  <c r="G81" i="3"/>
  <c r="D81" i="3"/>
  <c r="C81" i="3"/>
  <c r="N79" i="3"/>
  <c r="L78" i="3"/>
  <c r="G78" i="3"/>
  <c r="M77" i="3"/>
  <c r="N77" i="3"/>
  <c r="N76" i="3"/>
  <c r="N75" i="3"/>
  <c r="N74" i="3"/>
  <c r="J73" i="3"/>
  <c r="I73" i="3"/>
  <c r="C73" i="3"/>
  <c r="N73" i="3"/>
  <c r="K72" i="3"/>
  <c r="N72" i="3"/>
  <c r="I71" i="3"/>
  <c r="N71" i="3"/>
  <c r="I70" i="3"/>
  <c r="N70" i="3"/>
  <c r="N69" i="3"/>
  <c r="N68" i="3"/>
  <c r="N66" i="3"/>
  <c r="K65" i="3"/>
  <c r="N65" i="3"/>
  <c r="K64" i="3"/>
  <c r="I64" i="3"/>
  <c r="D64" i="3"/>
  <c r="K63" i="3"/>
  <c r="I63" i="3"/>
  <c r="N63" i="3"/>
  <c r="K62" i="3"/>
  <c r="I62" i="3"/>
  <c r="D62" i="3"/>
  <c r="N61" i="3"/>
  <c r="N60" i="3"/>
  <c r="K59" i="3"/>
  <c r="I59" i="3"/>
  <c r="D59" i="3"/>
  <c r="I58" i="3"/>
  <c r="N58" i="3"/>
  <c r="L57" i="3"/>
  <c r="K57" i="3"/>
  <c r="G57" i="3"/>
  <c r="N56" i="3"/>
  <c r="L55" i="3"/>
  <c r="K55" i="3"/>
  <c r="J55" i="3"/>
  <c r="D55" i="3"/>
  <c r="N53" i="3"/>
  <c r="K52" i="3"/>
  <c r="F52" i="3"/>
  <c r="D52" i="3"/>
  <c r="L51" i="3"/>
  <c r="K51" i="3"/>
  <c r="D51" i="3"/>
  <c r="L50" i="3"/>
  <c r="K50" i="3"/>
  <c r="J50" i="3"/>
  <c r="J49" i="3"/>
  <c r="I49" i="3"/>
  <c r="G49" i="3"/>
  <c r="L48" i="3"/>
  <c r="J48" i="3"/>
  <c r="I48" i="3"/>
  <c r="N47" i="3"/>
  <c r="N46" i="3"/>
  <c r="N45" i="3"/>
  <c r="N44" i="3"/>
  <c r="N43" i="3"/>
  <c r="N42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N15" i="3"/>
  <c r="N14" i="3"/>
  <c r="N13" i="3"/>
  <c r="N12" i="3"/>
  <c r="P255" i="2"/>
  <c r="G255" i="2"/>
  <c r="P254" i="2"/>
  <c r="G254" i="2"/>
  <c r="P253" i="2"/>
  <c r="G253" i="2"/>
  <c r="P252" i="2"/>
  <c r="G252" i="2"/>
  <c r="P251" i="2"/>
  <c r="G251" i="2"/>
  <c r="P250" i="2"/>
  <c r="G250" i="2"/>
  <c r="P248" i="2"/>
  <c r="G248" i="2"/>
  <c r="P247" i="2"/>
  <c r="G247" i="2"/>
  <c r="P246" i="2"/>
  <c r="G246" i="2"/>
  <c r="P245" i="2"/>
  <c r="G245" i="2"/>
  <c r="P244" i="2"/>
  <c r="G244" i="2"/>
  <c r="P243" i="2"/>
  <c r="G243" i="2"/>
  <c r="P242" i="2"/>
  <c r="G242" i="2"/>
  <c r="P241" i="2"/>
  <c r="G241" i="2"/>
  <c r="P240" i="2"/>
  <c r="G240" i="2"/>
  <c r="P239" i="2"/>
  <c r="G239" i="2"/>
  <c r="P238" i="2"/>
  <c r="G238" i="2"/>
  <c r="P237" i="2"/>
  <c r="G237" i="2"/>
  <c r="P235" i="2"/>
  <c r="G235" i="2"/>
  <c r="P234" i="2"/>
  <c r="G234" i="2"/>
  <c r="G227" i="2"/>
  <c r="P233" i="2"/>
  <c r="G233" i="2"/>
  <c r="P232" i="2"/>
  <c r="G232" i="2"/>
  <c r="P231" i="2"/>
  <c r="G231" i="2"/>
  <c r="P230" i="2"/>
  <c r="G230" i="2"/>
  <c r="P229" i="2"/>
  <c r="G229" i="2"/>
  <c r="P228" i="2"/>
  <c r="G228" i="2"/>
  <c r="P227" i="2"/>
  <c r="P226" i="2"/>
  <c r="G226" i="2"/>
  <c r="P225" i="2"/>
  <c r="G225" i="2"/>
  <c r="P224" i="2"/>
  <c r="G224" i="2"/>
  <c r="P222" i="2"/>
  <c r="G222" i="2"/>
  <c r="P221" i="2"/>
  <c r="G221" i="2"/>
  <c r="P220" i="2"/>
  <c r="G220" i="2"/>
  <c r="P219" i="2"/>
  <c r="G219" i="2"/>
  <c r="P218" i="2"/>
  <c r="G218" i="2"/>
  <c r="P217" i="2"/>
  <c r="G217" i="2"/>
  <c r="P216" i="2"/>
  <c r="G216" i="2"/>
  <c r="P215" i="2"/>
  <c r="G215" i="2"/>
  <c r="P214" i="2"/>
  <c r="G214" i="2"/>
  <c r="P213" i="2"/>
  <c r="G213" i="2"/>
  <c r="P212" i="2"/>
  <c r="G212" i="2"/>
  <c r="P210" i="2"/>
  <c r="G210" i="2"/>
  <c r="P209" i="2"/>
  <c r="G209" i="2"/>
  <c r="P208" i="2"/>
  <c r="G208" i="2"/>
  <c r="P207" i="2"/>
  <c r="G207" i="2"/>
  <c r="P206" i="2"/>
  <c r="G206" i="2"/>
  <c r="P205" i="2"/>
  <c r="G205" i="2"/>
  <c r="P204" i="2"/>
  <c r="G204" i="2"/>
  <c r="P203" i="2"/>
  <c r="G203" i="2"/>
  <c r="P202" i="2"/>
  <c r="G202" i="2"/>
  <c r="P201" i="2"/>
  <c r="G201" i="2"/>
  <c r="P200" i="2"/>
  <c r="G200" i="2"/>
  <c r="P199" i="2"/>
  <c r="G199" i="2"/>
  <c r="P197" i="2"/>
  <c r="G197" i="2"/>
  <c r="P196" i="2"/>
  <c r="G196" i="2"/>
  <c r="P195" i="2"/>
  <c r="G195" i="2"/>
  <c r="P194" i="2"/>
  <c r="G194" i="2"/>
  <c r="P193" i="2"/>
  <c r="G193" i="2"/>
  <c r="P192" i="2"/>
  <c r="G192" i="2"/>
  <c r="P191" i="2"/>
  <c r="G191" i="2"/>
  <c r="P190" i="2"/>
  <c r="G190" i="2"/>
  <c r="P189" i="2"/>
  <c r="G189" i="2"/>
  <c r="P188" i="2"/>
  <c r="G188" i="2"/>
  <c r="P187" i="2"/>
  <c r="G187" i="2"/>
  <c r="P186" i="2"/>
  <c r="G186" i="2"/>
  <c r="P184" i="2"/>
  <c r="G184" i="2"/>
  <c r="P183" i="2"/>
  <c r="G183" i="2"/>
  <c r="P182" i="2"/>
  <c r="G182" i="2"/>
  <c r="P181" i="2"/>
  <c r="G181" i="2"/>
  <c r="K180" i="2"/>
  <c r="P180" i="2"/>
  <c r="G180" i="2"/>
  <c r="P179" i="2"/>
  <c r="G179" i="2"/>
  <c r="P178" i="2"/>
  <c r="G178" i="2"/>
  <c r="P177" i="2"/>
  <c r="G177" i="2"/>
  <c r="P176" i="2"/>
  <c r="G176" i="2"/>
  <c r="P175" i="2"/>
  <c r="G175" i="2"/>
  <c r="P174" i="2"/>
  <c r="G174" i="2"/>
  <c r="P171" i="2"/>
  <c r="G171" i="2"/>
  <c r="P170" i="2"/>
  <c r="G170" i="2"/>
  <c r="P169" i="2"/>
  <c r="G169" i="2"/>
  <c r="P168" i="2"/>
  <c r="G168" i="2"/>
  <c r="P167" i="2"/>
  <c r="G167" i="2"/>
  <c r="P166" i="2"/>
  <c r="G166" i="2"/>
  <c r="P165" i="2"/>
  <c r="G165" i="2"/>
  <c r="P164" i="2"/>
  <c r="G164" i="2"/>
  <c r="P163" i="2"/>
  <c r="G163" i="2"/>
  <c r="P162" i="2"/>
  <c r="G162" i="2"/>
  <c r="P161" i="2"/>
  <c r="G161" i="2"/>
  <c r="P160" i="2"/>
  <c r="G160" i="2"/>
  <c r="P158" i="2"/>
  <c r="G158" i="2"/>
  <c r="P157" i="2"/>
  <c r="G157" i="2"/>
  <c r="P156" i="2"/>
  <c r="G156" i="2"/>
  <c r="P154" i="2"/>
  <c r="G154" i="2"/>
  <c r="O153" i="2"/>
  <c r="K153" i="2"/>
  <c r="F153" i="2"/>
  <c r="E153" i="2"/>
  <c r="C153" i="2"/>
  <c r="K152" i="2"/>
  <c r="J152" i="2"/>
  <c r="F152" i="2"/>
  <c r="E152" i="2"/>
  <c r="D152" i="2"/>
  <c r="C152" i="2"/>
  <c r="K151" i="2"/>
  <c r="P151" i="2"/>
  <c r="F151" i="2"/>
  <c r="G151" i="2"/>
  <c r="K150" i="2"/>
  <c r="P150" i="2"/>
  <c r="F150" i="2"/>
  <c r="C150" i="2"/>
  <c r="G150" i="2"/>
  <c r="O149" i="2"/>
  <c r="K149" i="2"/>
  <c r="F149" i="2"/>
  <c r="G149" i="2"/>
  <c r="K148" i="2"/>
  <c r="P148" i="2"/>
  <c r="F148" i="2"/>
  <c r="G148" i="2"/>
  <c r="K147" i="2"/>
  <c r="P147" i="2"/>
  <c r="F147" i="2"/>
  <c r="C147" i="2"/>
  <c r="P80" i="2"/>
  <c r="G80" i="2"/>
  <c r="O79" i="2"/>
  <c r="K79" i="2"/>
  <c r="J79" i="2"/>
  <c r="I79" i="2"/>
  <c r="H79" i="2"/>
  <c r="F79" i="2"/>
  <c r="E79" i="2"/>
  <c r="D79" i="2"/>
  <c r="C79" i="2"/>
  <c r="O78" i="2"/>
  <c r="K78" i="2"/>
  <c r="J78" i="2"/>
  <c r="F78" i="2"/>
  <c r="E78" i="2"/>
  <c r="C78" i="2"/>
  <c r="O77" i="2"/>
  <c r="P77" i="2"/>
  <c r="F77" i="2"/>
  <c r="E77" i="2"/>
  <c r="C77" i="2"/>
  <c r="O76" i="2"/>
  <c r="P76" i="2"/>
  <c r="F76" i="2"/>
  <c r="E76" i="2"/>
  <c r="C76" i="2"/>
  <c r="O75" i="2"/>
  <c r="N75" i="2"/>
  <c r="L75" i="2"/>
  <c r="K75" i="2"/>
  <c r="F75" i="2"/>
  <c r="E75" i="2"/>
  <c r="D75" i="2"/>
  <c r="C82" i="2"/>
  <c r="D82" i="2"/>
  <c r="E82" i="2"/>
  <c r="F82" i="2"/>
  <c r="H82" i="2"/>
  <c r="I82" i="2"/>
  <c r="J82" i="2"/>
  <c r="K82" i="2"/>
  <c r="L82" i="2"/>
  <c r="M82" i="2"/>
  <c r="N82" i="2"/>
  <c r="O82" i="2"/>
  <c r="C83" i="2"/>
  <c r="G83" i="2"/>
  <c r="P83" i="2"/>
  <c r="C84" i="2"/>
  <c r="D84" i="2"/>
  <c r="E84" i="2"/>
  <c r="F84" i="2"/>
  <c r="H84" i="2"/>
  <c r="I84" i="2"/>
  <c r="J84" i="2"/>
  <c r="K84" i="2"/>
  <c r="L84" i="2"/>
  <c r="M84" i="2"/>
  <c r="N84" i="2"/>
  <c r="O84" i="2"/>
  <c r="C85" i="2"/>
  <c r="D85" i="2"/>
  <c r="E85" i="2"/>
  <c r="F85" i="2"/>
  <c r="H85" i="2"/>
  <c r="I85" i="2"/>
  <c r="J85" i="2"/>
  <c r="K85" i="2"/>
  <c r="L85" i="2"/>
  <c r="M85" i="2"/>
  <c r="N85" i="2"/>
  <c r="O85" i="2"/>
  <c r="C86" i="2"/>
  <c r="D86" i="2"/>
  <c r="E86" i="2"/>
  <c r="F86" i="2"/>
  <c r="K86" i="2"/>
  <c r="O86" i="2"/>
  <c r="C87" i="2"/>
  <c r="E87" i="2"/>
  <c r="F87" i="2"/>
  <c r="O87" i="2"/>
  <c r="P87" i="2"/>
  <c r="C88" i="2"/>
  <c r="E88" i="2"/>
  <c r="F88" i="2"/>
  <c r="O88" i="2"/>
  <c r="P88" i="2"/>
  <c r="O74" i="2"/>
  <c r="M74" i="2"/>
  <c r="L74" i="2"/>
  <c r="K74" i="2"/>
  <c r="J74" i="2"/>
  <c r="I74" i="2"/>
  <c r="F74" i="2"/>
  <c r="E74" i="2"/>
  <c r="D74" i="2"/>
  <c r="C74" i="2"/>
  <c r="K73" i="2"/>
  <c r="P73" i="2"/>
  <c r="F73" i="2"/>
  <c r="E73" i="2"/>
  <c r="C73" i="2"/>
  <c r="N72" i="2"/>
  <c r="L72" i="2"/>
  <c r="K72" i="2"/>
  <c r="J72" i="2"/>
  <c r="F72" i="2"/>
  <c r="E72" i="2"/>
  <c r="D72" i="2"/>
  <c r="C72" i="2"/>
  <c r="K71" i="2"/>
  <c r="P71" i="2"/>
  <c r="F71" i="2"/>
  <c r="E71" i="2"/>
  <c r="D71" i="2"/>
  <c r="I70" i="2"/>
  <c r="P70" i="2"/>
  <c r="F70" i="2"/>
  <c r="E70" i="2"/>
  <c r="D70" i="2"/>
  <c r="G70" i="2"/>
  <c r="O69" i="2"/>
  <c r="L69" i="2"/>
  <c r="K69" i="2"/>
  <c r="J69" i="2"/>
  <c r="F69" i="2"/>
  <c r="C69" i="2"/>
  <c r="E89" i="2"/>
  <c r="F89" i="2"/>
  <c r="K89" i="2"/>
  <c r="O89" i="2"/>
  <c r="C90" i="2"/>
  <c r="E90" i="2"/>
  <c r="O90" i="2"/>
  <c r="P90" i="2"/>
  <c r="C91" i="2"/>
  <c r="E91" i="2"/>
  <c r="P91" i="2"/>
  <c r="C92" i="2"/>
  <c r="G92" i="2"/>
  <c r="O92" i="2"/>
  <c r="P92" i="2"/>
  <c r="C93" i="2"/>
  <c r="E93" i="2"/>
  <c r="F93" i="2"/>
  <c r="O93" i="2"/>
  <c r="P93" i="2"/>
  <c r="P145" i="2"/>
  <c r="F145" i="2"/>
  <c r="C145" i="2"/>
  <c r="H144" i="2"/>
  <c r="P144" i="2"/>
  <c r="E144" i="2"/>
  <c r="G144" i="2"/>
  <c r="P143" i="2"/>
  <c r="F143" i="2"/>
  <c r="G143" i="2"/>
  <c r="K142" i="2"/>
  <c r="P142" i="2"/>
  <c r="F142" i="2"/>
  <c r="C142" i="2"/>
  <c r="P141" i="2"/>
  <c r="G141" i="2"/>
  <c r="J140" i="2"/>
  <c r="P140" i="2"/>
  <c r="G140" i="2"/>
  <c r="P139" i="2"/>
  <c r="G139" i="2"/>
  <c r="P138" i="2"/>
  <c r="F138" i="2"/>
  <c r="G138" i="2"/>
  <c r="P137" i="2"/>
  <c r="F137" i="2"/>
  <c r="D137" i="2"/>
  <c r="C137" i="2"/>
  <c r="P136" i="2"/>
  <c r="F136" i="2"/>
  <c r="C136" i="2"/>
  <c r="P135" i="2"/>
  <c r="D135" i="2"/>
  <c r="C135" i="2"/>
  <c r="O134" i="2"/>
  <c r="P134" i="2"/>
  <c r="G134" i="2"/>
  <c r="P132" i="2"/>
  <c r="C132" i="2"/>
  <c r="G132" i="2"/>
  <c r="K131" i="2"/>
  <c r="P131" i="2"/>
  <c r="G131" i="2"/>
  <c r="K130" i="2"/>
  <c r="P130" i="2"/>
  <c r="C130" i="2"/>
  <c r="G130" i="2"/>
  <c r="P129" i="2"/>
  <c r="G129" i="2"/>
  <c r="K128" i="2"/>
  <c r="P128" i="2"/>
  <c r="O127" i="3"/>
  <c r="P127" i="2"/>
  <c r="E127" i="2"/>
  <c r="G127" i="2"/>
  <c r="P126" i="2"/>
  <c r="G126" i="2"/>
  <c r="P125" i="2"/>
  <c r="G125" i="2"/>
  <c r="P124" i="2"/>
  <c r="F124" i="2"/>
  <c r="E124" i="2"/>
  <c r="C124" i="2"/>
  <c r="K123" i="2"/>
  <c r="P123" i="2"/>
  <c r="F123" i="2"/>
  <c r="C123" i="2"/>
  <c r="P122" i="2"/>
  <c r="F122" i="2"/>
  <c r="C122" i="2"/>
  <c r="P121" i="2"/>
  <c r="F121" i="2"/>
  <c r="C121" i="2"/>
  <c r="J119" i="2"/>
  <c r="P119" i="2"/>
  <c r="F119" i="2"/>
  <c r="E119" i="2"/>
  <c r="C119" i="2"/>
  <c r="G119" i="2"/>
  <c r="P118" i="2"/>
  <c r="C118" i="2"/>
  <c r="G118" i="2"/>
  <c r="P117" i="2"/>
  <c r="G117" i="2"/>
  <c r="P116" i="2"/>
  <c r="E116" i="2"/>
  <c r="G116" i="2"/>
  <c r="P115" i="2"/>
  <c r="F115" i="2"/>
  <c r="E115" i="2"/>
  <c r="C115" i="2"/>
  <c r="P114" i="2"/>
  <c r="G114" i="2"/>
  <c r="P113" i="2"/>
  <c r="G113" i="2"/>
  <c r="P112" i="2"/>
  <c r="D112" i="2"/>
  <c r="G112" i="2"/>
  <c r="P111" i="2"/>
  <c r="C111" i="2"/>
  <c r="G111" i="2"/>
  <c r="P110" i="2"/>
  <c r="F110" i="2"/>
  <c r="G110" i="2"/>
  <c r="P109" i="2"/>
  <c r="C109" i="2"/>
  <c r="G109" i="2"/>
  <c r="P108" i="2"/>
  <c r="F108" i="2"/>
  <c r="C108" i="2"/>
  <c r="P106" i="2"/>
  <c r="F106" i="2"/>
  <c r="C106" i="2"/>
  <c r="G106" i="2"/>
  <c r="P105" i="2"/>
  <c r="F105" i="2"/>
  <c r="G105" i="2"/>
  <c r="P104" i="2"/>
  <c r="C104" i="2"/>
  <c r="G104" i="2"/>
  <c r="P103" i="2"/>
  <c r="G103" i="2"/>
  <c r="P102" i="2"/>
  <c r="G102" i="2"/>
  <c r="K101" i="2"/>
  <c r="P101" i="2"/>
  <c r="F101" i="2"/>
  <c r="G101" i="2"/>
  <c r="P100" i="2"/>
  <c r="G100" i="2"/>
  <c r="P99" i="2"/>
  <c r="F99" i="2"/>
  <c r="E99" i="2"/>
  <c r="C99" i="2"/>
  <c r="J98" i="2"/>
  <c r="P98" i="2"/>
  <c r="E98" i="2"/>
  <c r="D98" i="2"/>
  <c r="C98" i="2"/>
  <c r="G98" i="2"/>
  <c r="P97" i="2"/>
  <c r="C97" i="2"/>
  <c r="G97" i="2"/>
  <c r="P96" i="2"/>
  <c r="F96" i="2"/>
  <c r="C96" i="2"/>
  <c r="P95" i="2"/>
  <c r="C95" i="2"/>
  <c r="G95" i="2"/>
  <c r="O67" i="2"/>
  <c r="K67" i="2"/>
  <c r="G67" i="2"/>
  <c r="P66" i="2"/>
  <c r="F66" i="2"/>
  <c r="E66" i="2"/>
  <c r="D66" i="2"/>
  <c r="C66" i="2"/>
  <c r="O65" i="2"/>
  <c r="N65" i="2"/>
  <c r="K65" i="2"/>
  <c r="F65" i="2"/>
  <c r="E65" i="2"/>
  <c r="C65" i="2"/>
  <c r="N64" i="2"/>
  <c r="P64" i="2"/>
  <c r="F64" i="2"/>
  <c r="E64" i="2"/>
  <c r="D64" i="2"/>
  <c r="C64" i="2"/>
  <c r="O63" i="2"/>
  <c r="K63" i="2"/>
  <c r="F63" i="2"/>
  <c r="E63" i="2"/>
  <c r="D63" i="2"/>
  <c r="C63" i="2"/>
  <c r="P62" i="2"/>
  <c r="G62" i="2"/>
  <c r="P61" i="2"/>
  <c r="G61" i="2"/>
  <c r="O60" i="2"/>
  <c r="N60" i="2"/>
  <c r="L60" i="2"/>
  <c r="J60" i="2"/>
  <c r="H60" i="2"/>
  <c r="F60" i="2"/>
  <c r="E60" i="2"/>
  <c r="C60" i="2"/>
  <c r="O59" i="2"/>
  <c r="N59" i="2"/>
  <c r="L59" i="2"/>
  <c r="K59" i="2"/>
  <c r="G59" i="2"/>
  <c r="N58" i="2"/>
  <c r="L58" i="2"/>
  <c r="I58" i="2"/>
  <c r="C58" i="2"/>
  <c r="G58" i="2"/>
  <c r="P57" i="2"/>
  <c r="G57" i="2"/>
  <c r="O56" i="2"/>
  <c r="N56" i="2"/>
  <c r="L56" i="2"/>
  <c r="J56" i="2"/>
  <c r="F56" i="2"/>
  <c r="E56" i="2"/>
  <c r="C56" i="2"/>
  <c r="P54" i="2"/>
  <c r="G54" i="2"/>
  <c r="O53" i="2"/>
  <c r="P53" i="2"/>
  <c r="G53" i="2"/>
  <c r="O52" i="2"/>
  <c r="L52" i="2"/>
  <c r="F52" i="2"/>
  <c r="C52" i="2"/>
  <c r="P51" i="2"/>
  <c r="G51" i="2"/>
  <c r="K50" i="2"/>
  <c r="P50" i="2"/>
  <c r="E50" i="2"/>
  <c r="D50" i="2"/>
  <c r="G50" i="2"/>
  <c r="I49" i="2"/>
  <c r="P49" i="2"/>
  <c r="D49" i="2"/>
  <c r="G49" i="2"/>
  <c r="P48" i="2"/>
  <c r="G48" i="2"/>
  <c r="P47" i="2"/>
  <c r="G47" i="2"/>
  <c r="P46" i="2"/>
  <c r="G46" i="2"/>
  <c r="P45" i="2"/>
  <c r="G45" i="2"/>
  <c r="P44" i="2"/>
  <c r="G44" i="2"/>
  <c r="P43" i="2"/>
  <c r="G43" i="2"/>
  <c r="P41" i="2"/>
  <c r="G41" i="2"/>
  <c r="P40" i="2"/>
  <c r="G40" i="2"/>
  <c r="P39" i="2"/>
  <c r="G39" i="2"/>
  <c r="P38" i="2"/>
  <c r="G38" i="2"/>
  <c r="P37" i="2"/>
  <c r="G37" i="2"/>
  <c r="P36" i="2"/>
  <c r="G36" i="2"/>
  <c r="P16" i="2"/>
  <c r="G16" i="2"/>
  <c r="P15" i="2"/>
  <c r="G15" i="2"/>
  <c r="P14" i="2"/>
  <c r="G14" i="2"/>
  <c r="P13" i="2"/>
  <c r="G13" i="2"/>
  <c r="N48" i="3"/>
  <c r="N59" i="3"/>
  <c r="G121" i="2"/>
  <c r="O120" i="3"/>
  <c r="N49" i="3"/>
  <c r="P149" i="2"/>
  <c r="N129" i="3"/>
  <c r="O129" i="3"/>
  <c r="N96" i="3"/>
  <c r="N86" i="3"/>
  <c r="N50" i="3"/>
  <c r="N62" i="3"/>
  <c r="O192" i="3"/>
  <c r="G71" i="2"/>
  <c r="O70" i="3"/>
  <c r="G99" i="2"/>
  <c r="O98" i="3"/>
  <c r="O181" i="3"/>
  <c r="O266" i="3"/>
  <c r="G123" i="2"/>
  <c r="O122" i="3"/>
  <c r="G135" i="2"/>
  <c r="O134" i="3"/>
  <c r="G76" i="2"/>
  <c r="O75" i="3"/>
  <c r="O157" i="3"/>
  <c r="G74" i="2"/>
  <c r="G147" i="2"/>
  <c r="O146" i="3"/>
  <c r="P52" i="2"/>
  <c r="O156" i="3"/>
  <c r="O182" i="3"/>
  <c r="O236" i="3"/>
  <c r="O140" i="3"/>
  <c r="O13" i="3"/>
  <c r="O195" i="3"/>
  <c r="O221" i="3"/>
  <c r="O247" i="3"/>
  <c r="O223" i="3"/>
  <c r="G136" i="2"/>
  <c r="O135" i="3"/>
  <c r="P152" i="2"/>
  <c r="O45" i="3"/>
  <c r="O249" i="3"/>
  <c r="G90" i="2"/>
  <c r="O89" i="3"/>
  <c r="O130" i="3"/>
  <c r="G69" i="2"/>
  <c r="O228" i="3"/>
  <c r="O44" i="3"/>
  <c r="O155" i="3"/>
  <c r="O139" i="3"/>
  <c r="G78" i="2"/>
  <c r="O148" i="3"/>
  <c r="O224" i="3"/>
  <c r="O133" i="3"/>
  <c r="O177" i="3"/>
  <c r="G115" i="2"/>
  <c r="O114" i="3"/>
  <c r="O113" i="3"/>
  <c r="O178" i="3"/>
  <c r="G73" i="2"/>
  <c r="O72" i="3"/>
  <c r="O153" i="3"/>
  <c r="G122" i="2"/>
  <c r="O121" i="3"/>
  <c r="N83" i="3"/>
  <c r="N57" i="3"/>
  <c r="O108" i="3"/>
  <c r="O179" i="3"/>
  <c r="O12" i="3"/>
  <c r="G75" i="2"/>
  <c r="G142" i="2"/>
  <c r="O141" i="3"/>
  <c r="O56" i="3"/>
  <c r="O48" i="3"/>
  <c r="O61" i="3"/>
  <c r="O131" i="3"/>
  <c r="O42" i="3"/>
  <c r="P65" i="2"/>
  <c r="G153" i="2"/>
  <c r="O231" i="3"/>
  <c r="O185" i="3"/>
  <c r="O211" i="3"/>
  <c r="O237" i="3"/>
  <c r="P56" i="2"/>
  <c r="G66" i="2"/>
  <c r="O65" i="3"/>
  <c r="O194" i="3"/>
  <c r="P153" i="2"/>
  <c r="O101" i="3"/>
  <c r="O142" i="3"/>
  <c r="G72" i="2"/>
  <c r="P58" i="2"/>
  <c r="P63" i="2"/>
  <c r="O125" i="3"/>
  <c r="G96" i="2"/>
  <c r="O95" i="3"/>
  <c r="O104" i="3"/>
  <c r="O227" i="3"/>
  <c r="G60" i="2"/>
  <c r="G65" i="2"/>
  <c r="O46" i="3"/>
  <c r="O47" i="3"/>
  <c r="O117" i="3"/>
  <c r="O229" i="3"/>
  <c r="O242" i="3"/>
  <c r="O116" i="3"/>
  <c r="O180" i="3"/>
  <c r="O230" i="3"/>
  <c r="O128" i="3"/>
  <c r="O14" i="3"/>
  <c r="O15" i="3"/>
  <c r="P74" i="2"/>
  <c r="G77" i="2"/>
  <c r="O76" i="3"/>
  <c r="O49" i="3"/>
  <c r="O159" i="3"/>
  <c r="O183" i="3"/>
  <c r="O232" i="3"/>
  <c r="O244" i="3"/>
  <c r="O94" i="3"/>
  <c r="O160" i="3"/>
  <c r="O172" i="3"/>
  <c r="O208" i="3"/>
  <c r="O234" i="3"/>
  <c r="O150" i="3"/>
  <c r="P86" i="2"/>
  <c r="O161" i="3"/>
  <c r="O245" i="3"/>
  <c r="O147" i="3"/>
  <c r="O186" i="3"/>
  <c r="O212" i="3"/>
  <c r="O238" i="3"/>
  <c r="O246" i="3"/>
  <c r="O239" i="3"/>
  <c r="G91" i="2"/>
  <c r="O90" i="3"/>
  <c r="G88" i="2"/>
  <c r="O87" i="3"/>
  <c r="G124" i="2"/>
  <c r="O123" i="3"/>
  <c r="O124" i="3"/>
  <c r="G64" i="2"/>
  <c r="O63" i="3"/>
  <c r="O188" i="3"/>
  <c r="O201" i="3"/>
  <c r="O214" i="3"/>
  <c r="O97" i="3"/>
  <c r="G108" i="2"/>
  <c r="O107" i="3"/>
  <c r="G145" i="2"/>
  <c r="O144" i="3"/>
  <c r="O143" i="3"/>
  <c r="G85" i="2"/>
  <c r="P60" i="2"/>
  <c r="O138" i="3"/>
  <c r="P67" i="2"/>
  <c r="O66" i="3"/>
  <c r="O164" i="3"/>
  <c r="O50" i="3"/>
  <c r="P72" i="2"/>
  <c r="G82" i="2"/>
  <c r="G79" i="2"/>
  <c r="O165" i="3"/>
  <c r="O240" i="3"/>
  <c r="O126" i="3"/>
  <c r="G52" i="2"/>
  <c r="P59" i="2"/>
  <c r="O58" i="3"/>
  <c r="O115" i="3"/>
  <c r="P89" i="2"/>
  <c r="O173" i="3"/>
  <c r="O198" i="3"/>
  <c r="O250" i="3"/>
  <c r="N52" i="3"/>
  <c r="O52" i="3"/>
  <c r="N64" i="3"/>
  <c r="O102" i="3"/>
  <c r="O166" i="3"/>
  <c r="O189" i="3"/>
  <c r="O215" i="3"/>
  <c r="O241" i="3"/>
  <c r="G137" i="2"/>
  <c r="O136" i="3"/>
  <c r="O202" i="3"/>
  <c r="P85" i="2"/>
  <c r="O203" i="3"/>
  <c r="P82" i="2"/>
  <c r="O96" i="3"/>
  <c r="O260" i="3"/>
  <c r="O112" i="3"/>
  <c r="O255" i="3"/>
  <c r="P78" i="2"/>
  <c r="N84" i="3"/>
  <c r="O103" i="3"/>
  <c r="O216" i="3"/>
  <c r="O209" i="3"/>
  <c r="G89" i="2"/>
  <c r="G87" i="2"/>
  <c r="O199" i="3"/>
  <c r="O251" i="3"/>
  <c r="N55" i="3"/>
  <c r="O168" i="3"/>
  <c r="O191" i="3"/>
  <c r="O217" i="3"/>
  <c r="O243" i="3"/>
  <c r="G84" i="2"/>
  <c r="O79" i="3"/>
  <c r="O91" i="3"/>
  <c r="O258" i="3"/>
  <c r="O111" i="3"/>
  <c r="O60" i="3"/>
  <c r="O205" i="3"/>
  <c r="O265" i="3"/>
  <c r="O206" i="3"/>
  <c r="O233" i="3"/>
  <c r="O262" i="3"/>
  <c r="N78" i="3"/>
  <c r="O263" i="3"/>
  <c r="N51" i="3"/>
  <c r="O53" i="3"/>
  <c r="O190" i="3"/>
  <c r="P75" i="2"/>
  <c r="O174" i="3"/>
  <c r="O187" i="3"/>
  <c r="O213" i="3"/>
  <c r="O226" i="3"/>
  <c r="O105" i="3"/>
  <c r="O169" i="3"/>
  <c r="O218" i="3"/>
  <c r="O176" i="3"/>
  <c r="P84" i="2"/>
  <c r="P79" i="2"/>
  <c r="O175" i="3"/>
  <c r="O200" i="3"/>
  <c r="O252" i="3"/>
  <c r="O170" i="3"/>
  <c r="O193" i="3"/>
  <c r="O219" i="3"/>
  <c r="O267" i="3"/>
  <c r="G86" i="2"/>
  <c r="O254" i="3"/>
  <c r="G56" i="2"/>
  <c r="G93" i="2"/>
  <c r="O92" i="3"/>
  <c r="O204" i="3"/>
  <c r="O259" i="3"/>
  <c r="G63" i="2"/>
  <c r="O207" i="3"/>
  <c r="O268" i="3"/>
  <c r="O162" i="3"/>
  <c r="O196" i="3"/>
  <c r="O99" i="3"/>
  <c r="O163" i="3"/>
  <c r="O225" i="3"/>
  <c r="N81" i="3"/>
  <c r="O167" i="3"/>
  <c r="P69" i="2"/>
  <c r="G152" i="2"/>
  <c r="O43" i="3"/>
  <c r="O82" i="3"/>
  <c r="O220" i="3"/>
  <c r="O264" i="3"/>
  <c r="O257" i="3"/>
  <c r="O110" i="3"/>
  <c r="O118" i="3"/>
  <c r="O100" i="3"/>
  <c r="O137" i="3"/>
  <c r="O109" i="3"/>
  <c r="O149" i="3"/>
  <c r="O69" i="3"/>
  <c r="O256" i="3"/>
  <c r="O253" i="3"/>
  <c r="O73" i="3"/>
  <c r="O86" i="3"/>
  <c r="O57" i="3"/>
  <c r="O68" i="3"/>
  <c r="O83" i="3"/>
  <c r="O151" i="3"/>
  <c r="O71" i="3"/>
  <c r="O78" i="3"/>
  <c r="O77" i="3"/>
  <c r="O81" i="3"/>
  <c r="O85" i="3"/>
  <c r="O62" i="3"/>
  <c r="O84" i="3"/>
  <c r="O74" i="3"/>
  <c r="O152" i="3"/>
  <c r="O51" i="3"/>
  <c r="O88" i="3"/>
  <c r="O59" i="3"/>
  <c r="O55" i="3"/>
  <c r="O64" i="3"/>
</calcChain>
</file>

<file path=xl/sharedStrings.xml><?xml version="1.0" encoding="utf-8"?>
<sst xmlns="http://schemas.openxmlformats.org/spreadsheetml/2006/main" count="377" uniqueCount="166">
  <si>
    <t>Total of Services Sector</t>
  </si>
  <si>
    <t>Commercial Sector</t>
  </si>
  <si>
    <t>Utilities and Energy</t>
  </si>
  <si>
    <t>Media</t>
  </si>
  <si>
    <t>Transportation</t>
  </si>
  <si>
    <t>Hotels and Tourism</t>
  </si>
  <si>
    <t>Educational Sector</t>
  </si>
  <si>
    <t>Health Sector</t>
  </si>
  <si>
    <t>Total of Finacial Sector</t>
  </si>
  <si>
    <t>Real Estate</t>
  </si>
  <si>
    <t>Diversified Financial Services</t>
  </si>
  <si>
    <t>Insurance</t>
  </si>
  <si>
    <t>Banks</t>
  </si>
  <si>
    <t xml:space="preserve"> مجموع قطاع الخدمات</t>
  </si>
  <si>
    <t>الخدمات التجارية</t>
  </si>
  <si>
    <t>الطاقة والمنافع</t>
  </si>
  <si>
    <t>الاعلام</t>
  </si>
  <si>
    <t>التكنولوجيا والاتصالات</t>
  </si>
  <si>
    <t>النقل</t>
  </si>
  <si>
    <t>الفنادق والسياحة</t>
  </si>
  <si>
    <t>التعليم</t>
  </si>
  <si>
    <t>الخدمات الصحية</t>
  </si>
  <si>
    <t xml:space="preserve"> مجموع القطاع المالي</t>
  </si>
  <si>
    <t>العقارات</t>
  </si>
  <si>
    <t>خدمات مالية متنوعة</t>
  </si>
  <si>
    <t>التأمين</t>
  </si>
  <si>
    <t>البنوك</t>
  </si>
  <si>
    <t>Total Sectors</t>
  </si>
  <si>
    <t>Total of Industrial Sector</t>
  </si>
  <si>
    <t>Glass and Ceramic Industries</t>
  </si>
  <si>
    <t>Textile, Leather and Clothings</t>
  </si>
  <si>
    <t>Electrical Industries</t>
  </si>
  <si>
    <t>Engineering and Construction</t>
  </si>
  <si>
    <t>Mining and Extraction Industries</t>
  </si>
  <si>
    <t>Tobacco and Cigarettes</t>
  </si>
  <si>
    <t>Food and Beverages</t>
  </si>
  <si>
    <t>Printing and Packaging</t>
  </si>
  <si>
    <t>Paper and Cartoon Industries</t>
  </si>
  <si>
    <t>Chemical Industries</t>
  </si>
  <si>
    <t>Pharmaceutical and Medical Industries</t>
  </si>
  <si>
    <t xml:space="preserve">مجموع القطاعات </t>
  </si>
  <si>
    <t xml:space="preserve"> مجموع قطاع الصناعة</t>
  </si>
  <si>
    <t>الصناعات الزجاجية والخزفية</t>
  </si>
  <si>
    <t>الملابس والجلود والنسيج</t>
  </si>
  <si>
    <t>الصناعات الكهربائية</t>
  </si>
  <si>
    <t>الصناعات الهندسية والانشائية</t>
  </si>
  <si>
    <t>الصناعات الاستخراجية والتعدينية</t>
  </si>
  <si>
    <t>التبغ والسجائر</t>
  </si>
  <si>
    <t>الاغذية والمشروبات</t>
  </si>
  <si>
    <t>الطباعة والتغليف</t>
  </si>
  <si>
    <t>صناعات الورق والكرتون</t>
  </si>
  <si>
    <t>الصناعات الكيماوية</t>
  </si>
  <si>
    <t>الادوية والصناعات الطبية</t>
  </si>
  <si>
    <t>Percentage Change</t>
  </si>
  <si>
    <t>Index Number</t>
  </si>
  <si>
    <t xml:space="preserve">التغير النسبي </t>
  </si>
  <si>
    <t>الرقم القياسي</t>
  </si>
  <si>
    <t xml:space="preserve">General Index  </t>
  </si>
  <si>
    <t>Manufacturing and Mining Companies</t>
  </si>
  <si>
    <t>Services Companies</t>
  </si>
  <si>
    <t>Insurance Companies</t>
  </si>
  <si>
    <t>Banks and Financial Institutions</t>
  </si>
  <si>
    <t>الرقم القياسي العام</t>
  </si>
  <si>
    <t>شركات الصناعة والتعدين</t>
  </si>
  <si>
    <t>شركات الخدمات</t>
  </si>
  <si>
    <t>شركات التأمين</t>
  </si>
  <si>
    <t>البنوك والشركات المالية</t>
  </si>
  <si>
    <t xml:space="preserve">المصدر : بورصة عمان.  </t>
  </si>
  <si>
    <t>Hotel and Tourism</t>
  </si>
  <si>
    <t xml:space="preserve"> Services Sector</t>
  </si>
  <si>
    <t xml:space="preserve"> Finacial Sector</t>
  </si>
  <si>
    <t xml:space="preserve"> قطاع الخدمات</t>
  </si>
  <si>
    <t>القطاع المالي</t>
  </si>
  <si>
    <t>General Index</t>
  </si>
  <si>
    <t xml:space="preserve">  Industrial Sector</t>
  </si>
  <si>
    <t>التغير النسبي %</t>
  </si>
  <si>
    <t xml:space="preserve">الرقم القياسي العام </t>
  </si>
  <si>
    <t xml:space="preserve"> قطاع الصناعة</t>
  </si>
  <si>
    <t>All Sectors</t>
  </si>
  <si>
    <t>الفترة
Period</t>
  </si>
  <si>
    <t>قطاع الخدمات</t>
  </si>
  <si>
    <t>Services Sector</t>
  </si>
  <si>
    <t xml:space="preserve">Financial Sector </t>
  </si>
  <si>
    <t>قطاع الصناعة</t>
  </si>
  <si>
    <t>Industrial Sector</t>
  </si>
  <si>
    <t>القطاع المالي
Finacial Sector</t>
  </si>
  <si>
    <t xml:space="preserve"> قطاع الخدمات
Services Sector</t>
  </si>
  <si>
    <t>قطاع الصناعة
  Industrial Sector</t>
  </si>
  <si>
    <t>Dec</t>
  </si>
  <si>
    <t>-</t>
  </si>
  <si>
    <t xml:space="preserve"> </t>
  </si>
  <si>
    <t xml:space="preserve">                                      </t>
  </si>
  <si>
    <t xml:space="preserve">  - </t>
  </si>
  <si>
    <t>Source : Amman Stock Exchange.</t>
  </si>
  <si>
    <t>N.A</t>
  </si>
  <si>
    <t>المصدر : بورصة عمان.</t>
  </si>
  <si>
    <t xml:space="preserve">        </t>
  </si>
  <si>
    <t>الف دينار
JD Thousand</t>
  </si>
  <si>
    <t>جميع
  القطاعات</t>
  </si>
  <si>
    <t>Table (59a) جدول</t>
  </si>
  <si>
    <t>Table (59b) جدول</t>
  </si>
  <si>
    <t>Table (60a) جدول</t>
  </si>
  <si>
    <t>Table (60b) جدول</t>
  </si>
  <si>
    <t>Table (61) جدول</t>
  </si>
  <si>
    <t>Table (62a) جدول</t>
  </si>
  <si>
    <t>Table (62b) جدول</t>
  </si>
  <si>
    <t>إحصاءات القطاع المالي</t>
  </si>
  <si>
    <t>Transp-ortation</t>
  </si>
  <si>
    <t>Technology and Commun-ication</t>
  </si>
  <si>
    <t>Health 
Sector</t>
  </si>
  <si>
    <t>Technology and Commu-nication</t>
  </si>
  <si>
    <t>Pharmace-utical and Medical Industries</t>
  </si>
  <si>
    <t>اربحية الشركات المساهمة العامة الاردنية..................................................................................................</t>
  </si>
  <si>
    <t>الرقم القياسي لاسعار الاسهم مرجحا بالقيمة السوقية لرأس المال..................................................................................................</t>
  </si>
  <si>
    <t>الرقم القياسي لاسعار الاسهم مرجحا بالقيمة السوقية للاسهم الحرة قطاعيا..................................................................................................</t>
  </si>
  <si>
    <t>حجم التداول في بورصة عمان موزعا حسب القطاعات. .................................................................................................</t>
  </si>
  <si>
    <t xml:space="preserve">Amman Stock Exchange </t>
  </si>
  <si>
    <t>بورصة عمان</t>
  </si>
  <si>
    <t>رقم الجدول
.Table No</t>
  </si>
  <si>
    <t>59b</t>
  </si>
  <si>
    <t>60a</t>
  </si>
  <si>
    <t>60b</t>
  </si>
  <si>
    <t>62a</t>
  </si>
  <si>
    <t>62b</t>
  </si>
  <si>
    <t>Value Traded at Amman Stock Exchange According to Sectors.................................................................................................</t>
  </si>
  <si>
    <t>Value Traded  at Amman Stock Exchange According to Sectors.................................................................................................</t>
  </si>
  <si>
    <t>Share Price Index Weighted by Market Capitalization of Free Float Shares by Sectors.................................................................................................</t>
  </si>
  <si>
    <t>Share Price Index Weighted by Market Value of Capital..................................................................................................</t>
  </si>
  <si>
    <t>Profitability of Jordanian Public Shareholding Companies..................................................................................................</t>
  </si>
  <si>
    <t>Mar&amp;Apr-20*</t>
  </si>
  <si>
    <t>Financial Sector Statistics</t>
  </si>
  <si>
    <t xml:space="preserve">الرقم القياسي  لاسعار  الاسهم  مرجحا  بالقيمة  السوقية للاسهم الحرة قطاعيا </t>
  </si>
  <si>
    <t>Closing December (1000=1999)</t>
  </si>
  <si>
    <t xml:space="preserve">  ( 1999=1000) اغلاق كانون اول</t>
  </si>
  <si>
    <t xml:space="preserve">Share Price Index Weighted by Market Capitalization of Free Float Shares by Sectors    </t>
  </si>
  <si>
    <t xml:space="preserve">Financial Sector Statistics </t>
  </si>
  <si>
    <t>Percentage Change %</t>
  </si>
  <si>
    <t xml:space="preserve"> الرقم القياسي  لاسعار  الاسهم  مرجحا  بالقيمة  السوقية لرأس المال</t>
  </si>
  <si>
    <t>Share Price Index Weighted By Market Value of Capital</t>
  </si>
  <si>
    <t>(1) : Preliminary.</t>
  </si>
  <si>
    <t>* : تمثل اربحية الشركات العائد على حقوق المساهمين ( صافي الربح  بعد الضرائب / حقوق المساهمين) .</t>
  </si>
  <si>
    <t xml:space="preserve">نسب مئوية
</t>
  </si>
  <si>
    <t>Percentages</t>
  </si>
  <si>
    <t>2020*</t>
  </si>
  <si>
    <t>* : Profitability of Companies Represents  Return on Equity  (Net Income After Taxes/Total Shareholders Equity).</t>
  </si>
  <si>
    <t>اربحية  الشركات  المساهمة العامة الاردنية وفقاً للقطاعات الاقتصادية *</t>
  </si>
  <si>
    <t>Profitability of Jordanian Public Shareholding Companies according to economic sectors *</t>
  </si>
  <si>
    <t>Profitability of Jordanian public shareholding companies according to economic sectors *</t>
  </si>
  <si>
    <t>اربحية  الشركات  المساهمة العامة الاردنية وفقاً للقطاعات الاقتصادية  *</t>
  </si>
  <si>
    <t>59a</t>
  </si>
  <si>
    <t xml:space="preserve">* : تم تعليق التداول في بورصة عمان اعتباراً من تاريخ 2020/3/17 بسبب تداعيات فيروس كورونا  وتم استئناف التداول اعتباراً من 2020/5/10. 
</t>
  </si>
  <si>
    <t>* : Trading on  Amman Stock Exchange has been suspended as of 17/3/2020 due to the repercussions
 of COVID-19, then trading has been resumed as of 10/5/2020.</t>
  </si>
  <si>
    <t xml:space="preserve"> المصدر : بورصة عمان.</t>
  </si>
  <si>
    <t>* : Trading on  Amman Stock Exchange has been suspended as of 17/3/2020 due to the repercussions of COVID-19, then trading
 has been resumed as of 10/5/2020.</t>
  </si>
  <si>
    <t>* : Trading on  Amman Stock Exchange has been suspended as of 17/3/2020 due to the repercussions of COVID-19, then trading has been resumed as of 10/5/2020.</t>
  </si>
  <si>
    <t>ملاحظة : ابتداءً من عام 2023، تم احتساب النسب من قبل البنك المركزي استناداً إلى بيانات دليل الشركات المنشورة على الموقع الالكتروني لبورصة عمان.</t>
  </si>
  <si>
    <t>Note : Since 2023,the percentages were calculated by the Central Bank based on the Companies'Guide data published on the Amman Stock Exchange website.</t>
  </si>
  <si>
    <t>(1) : أوليـــــة.</t>
  </si>
  <si>
    <r>
      <t>2024</t>
    </r>
    <r>
      <rPr>
        <b/>
        <vertAlign val="superscript"/>
        <sz val="24"/>
        <rFont val="Times New Roman"/>
        <family val="1"/>
      </rPr>
      <t>(1)</t>
    </r>
  </si>
  <si>
    <r>
      <t>2023</t>
    </r>
    <r>
      <rPr>
        <b/>
        <vertAlign val="superscript"/>
        <sz val="24"/>
        <rFont val="Times New Roman"/>
        <family val="1"/>
      </rPr>
      <t>(1)</t>
    </r>
  </si>
  <si>
    <r>
      <t>2022</t>
    </r>
    <r>
      <rPr>
        <b/>
        <vertAlign val="superscript"/>
        <sz val="24"/>
        <rFont val="Times New Roman"/>
        <family val="1"/>
      </rPr>
      <t>(1)</t>
    </r>
  </si>
  <si>
    <t xml:space="preserve">** حجم التداول في بورصة عمان موزعا حسب القطاعات  </t>
  </si>
  <si>
    <t>** Value Traded at Amman Stock Exchange According to Sectors</t>
  </si>
  <si>
    <t xml:space="preserve">**: قد تظهر فروقات بين حجم التداول السنوي لبعض القطاعات مع مجموع حجم التداول الشهري وذلك بسبب تغير التصنيف القطاعي لبعض الشركات خلال العام.
</t>
  </si>
  <si>
    <t>** : Discrepancies may appear between the annual trading values for certain sectors and the aggregate of their monthly data, due to changes in sectoral classification for certain companies during the year.</t>
  </si>
  <si>
    <r>
      <t>2025</t>
    </r>
    <r>
      <rPr>
        <b/>
        <vertAlign val="superscript"/>
        <sz val="24"/>
        <rFont val="Times New Roman"/>
        <family val="1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</si>
</sst>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£&quot;#,##0;\-&quot;£&quot;#,##0"/>
    <numFmt numFmtId="165" formatCode="B1mmm\-yy"/>
    <numFmt numFmtId="166" formatCode="0.0"/>
    <numFmt numFmtId="167" formatCode="#,##0.0"/>
    <numFmt numFmtId="168" formatCode="_-* #,##0.00_-;_-* #,##0.00\-;_-* &quot;-&quot;??_-;_-@_-"/>
    <numFmt numFmtId="169" formatCode="mmmm\ d\,\ yyyy"/>
  </numFmts>
  <fonts count="6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0"/>
      <name val="Times New Roman"/>
      <family val="1"/>
    </font>
    <font>
      <b/>
      <sz val="28"/>
      <color theme="0"/>
      <name val="Times New Roman"/>
      <family val="1"/>
    </font>
    <font>
      <b/>
      <sz val="36"/>
      <color theme="0"/>
      <name val="Times New Roman"/>
      <family val="1"/>
    </font>
    <font>
      <b/>
      <sz val="20"/>
      <color theme="0"/>
      <name val="Times New Roman"/>
      <family val="1"/>
    </font>
    <font>
      <b/>
      <sz val="20"/>
      <color theme="1"/>
      <name val="Times New Roman"/>
      <family val="1"/>
    </font>
    <font>
      <sz val="10"/>
      <name val="Arial"/>
      <family val="2"/>
    </font>
    <font>
      <sz val="10"/>
      <name val="Geneva"/>
      <charset val="178"/>
    </font>
    <font>
      <b/>
      <sz val="18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b/>
      <sz val="20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name val="Times New Roman"/>
      <family val="1"/>
    </font>
    <font>
      <sz val="20"/>
      <color theme="0"/>
      <name val="Times New Roman"/>
      <family val="1"/>
    </font>
    <font>
      <b/>
      <vertAlign val="superscript"/>
      <sz val="24"/>
      <name val="Times New Roman"/>
      <family val="1"/>
    </font>
    <font>
      <b/>
      <sz val="20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14"/>
      <color rgb="FFC00000"/>
      <name val="Times New Roman"/>
      <family val="1"/>
    </font>
    <font>
      <sz val="11"/>
      <color rgb="FFC00000"/>
      <name val="Calibri"/>
      <family val="2"/>
      <scheme val="minor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6"/>
      <color rgb="FFC00000"/>
      <name val="Times New Roman"/>
      <family val="1"/>
    </font>
    <font>
      <b/>
      <sz val="28"/>
      <color rgb="FFC00000"/>
      <name val="Times New Roman"/>
      <family val="1"/>
    </font>
    <font>
      <sz val="16"/>
      <color theme="1"/>
      <name val="Calibri"/>
      <family val="2"/>
      <scheme val="minor"/>
    </font>
    <font>
      <sz val="16"/>
      <name val="Times New Roman (Arabic)"/>
    </font>
    <font>
      <sz val="16"/>
      <name val="Times New Roman"/>
      <family val="1"/>
    </font>
    <font>
      <b/>
      <sz val="24"/>
      <color theme="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sz val="18"/>
      <color rgb="FFC00000"/>
      <name val="Times New Roman"/>
      <family val="1"/>
    </font>
    <font>
      <u/>
      <sz val="18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b/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8"/>
      <name val="Arial"/>
      <family val="2"/>
    </font>
    <font>
      <b/>
      <sz val="1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3889">
    <xf numFmtId="0" fontId="0" fillId="0" borderId="0"/>
    <xf numFmtId="0" fontId="8" fillId="0" borderId="0"/>
    <xf numFmtId="0" fontId="8" fillId="0" borderId="0"/>
    <xf numFmtId="0" fontId="9" fillId="0" borderId="0"/>
    <xf numFmtId="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2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8" fillId="0" borderId="0"/>
    <xf numFmtId="0" fontId="46" fillId="0" borderId="0" applyNumberFormat="0" applyFill="0" applyBorder="0" applyAlignment="0" applyProtection="0"/>
    <xf numFmtId="0" fontId="47" fillId="0" borderId="46" applyNumberFormat="0" applyFill="0" applyAlignment="0" applyProtection="0"/>
    <xf numFmtId="0" fontId="48" fillId="0" borderId="47" applyNumberFormat="0" applyFill="0" applyAlignment="0" applyProtection="0"/>
    <xf numFmtId="0" fontId="49" fillId="0" borderId="48" applyNumberFormat="0" applyFill="0" applyAlignment="0" applyProtection="0"/>
    <xf numFmtId="0" fontId="49" fillId="0" borderId="0" applyNumberFormat="0" applyFill="0" applyBorder="0" applyAlignment="0" applyProtection="0"/>
    <xf numFmtId="0" fontId="50" fillId="6" borderId="0" applyNumberFormat="0" applyBorder="0" applyAlignment="0" applyProtection="0"/>
    <xf numFmtId="0" fontId="51" fillId="7" borderId="0" applyNumberFormat="0" applyBorder="0" applyAlignment="0" applyProtection="0"/>
    <xf numFmtId="0" fontId="52" fillId="8" borderId="0" applyNumberFormat="0" applyBorder="0" applyAlignment="0" applyProtection="0"/>
    <xf numFmtId="0" fontId="53" fillId="9" borderId="49" applyNumberFormat="0" applyAlignment="0" applyProtection="0"/>
    <xf numFmtId="0" fontId="54" fillId="10" borderId="50" applyNumberFormat="0" applyAlignment="0" applyProtection="0"/>
    <xf numFmtId="0" fontId="55" fillId="10" borderId="49" applyNumberFormat="0" applyAlignment="0" applyProtection="0"/>
    <xf numFmtId="0" fontId="56" fillId="0" borderId="51" applyNumberFormat="0" applyFill="0" applyAlignment="0" applyProtection="0"/>
    <xf numFmtId="0" fontId="57" fillId="11" borderId="52" applyNumberFormat="0" applyAlignment="0" applyProtection="0"/>
    <xf numFmtId="0" fontId="58" fillId="0" borderId="0" applyNumberFormat="0" applyFill="0" applyBorder="0" applyAlignment="0" applyProtection="0"/>
    <xf numFmtId="0" fontId="44" fillId="12" borderId="53" applyNumberFormat="0" applyFont="0" applyAlignment="0" applyProtection="0"/>
    <xf numFmtId="0" fontId="59" fillId="0" borderId="0" applyNumberFormat="0" applyFill="0" applyBorder="0" applyAlignment="0" applyProtection="0"/>
    <xf numFmtId="0" fontId="60" fillId="0" borderId="54" applyNumberFormat="0" applyFill="0" applyAlignment="0" applyProtection="0"/>
    <xf numFmtId="0" fontId="61" fillId="13" borderId="0" applyNumberFormat="0" applyBorder="0" applyAlignment="0" applyProtection="0"/>
    <xf numFmtId="0" fontId="44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44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44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44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1" fillId="32" borderId="0" applyNumberFormat="0" applyBorder="0" applyAlignment="0" applyProtection="0"/>
    <xf numFmtId="0" fontId="61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61" fillId="36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3" fillId="0" borderId="0"/>
    <xf numFmtId="0" fontId="44" fillId="30" borderId="0" applyNumberFormat="0" applyBorder="0" applyAlignment="0" applyProtection="0"/>
    <xf numFmtId="0" fontId="44" fillId="34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1" fillId="7" borderId="0" applyNumberFormat="0" applyBorder="0" applyAlignment="0" applyProtection="0"/>
    <xf numFmtId="0" fontId="55" fillId="10" borderId="49" applyNumberFormat="0" applyAlignment="0" applyProtection="0"/>
    <xf numFmtId="0" fontId="57" fillId="11" borderId="52" applyNumberFormat="0" applyAlignment="0" applyProtection="0"/>
    <xf numFmtId="168" fontId="44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0" fillId="6" borderId="0" applyNumberFormat="0" applyBorder="0" applyAlignment="0" applyProtection="0"/>
    <xf numFmtId="0" fontId="47" fillId="0" borderId="46" applyNumberFormat="0" applyFill="0" applyAlignment="0" applyProtection="0"/>
    <xf numFmtId="0" fontId="48" fillId="0" borderId="47" applyNumberFormat="0" applyFill="0" applyAlignment="0" applyProtection="0"/>
    <xf numFmtId="0" fontId="49" fillId="0" borderId="48" applyNumberFormat="0" applyFill="0" applyAlignment="0" applyProtection="0"/>
    <xf numFmtId="0" fontId="49" fillId="0" borderId="0" applyNumberFormat="0" applyFill="0" applyBorder="0" applyAlignment="0" applyProtection="0"/>
    <xf numFmtId="0" fontId="53" fillId="9" borderId="49" applyNumberFormat="0" applyAlignment="0" applyProtection="0"/>
    <xf numFmtId="0" fontId="56" fillId="0" borderId="51" applyNumberFormat="0" applyFill="0" applyAlignment="0" applyProtection="0"/>
    <xf numFmtId="0" fontId="52" fillId="8" borderId="0" applyNumberFormat="0" applyBorder="0" applyAlignment="0" applyProtection="0"/>
    <xf numFmtId="0" fontId="44" fillId="12" borderId="53" applyNumberFormat="0" applyFont="0" applyAlignment="0" applyProtection="0"/>
    <xf numFmtId="0" fontId="54" fillId="10" borderId="50" applyNumberFormat="0" applyAlignment="0" applyProtection="0"/>
    <xf numFmtId="0" fontId="46" fillId="0" borderId="0" applyNumberFormat="0" applyFill="0" applyBorder="0" applyAlignment="0" applyProtection="0"/>
    <xf numFmtId="0" fontId="60" fillId="0" borderId="54" applyNumberFormat="0" applyFill="0" applyAlignment="0" applyProtection="0"/>
    <xf numFmtId="0" fontId="58" fillId="0" borderId="0" applyNumberForma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0" borderId="0"/>
    <xf numFmtId="3" fontId="8" fillId="0" borderId="0" applyFill="0" applyBorder="0" applyAlignment="0" applyProtection="0"/>
    <xf numFmtId="164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8" fillId="0" borderId="0"/>
    <xf numFmtId="167" fontId="8" fillId="0" borderId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8" fillId="0" borderId="0"/>
    <xf numFmtId="0" fontId="8" fillId="0" borderId="0"/>
    <xf numFmtId="0" fontId="47" fillId="0" borderId="46" applyNumberFormat="0" applyFill="0" applyAlignment="0" applyProtection="0"/>
    <xf numFmtId="0" fontId="48" fillId="0" borderId="47" applyNumberFormat="0" applyFill="0" applyAlignment="0" applyProtection="0"/>
    <xf numFmtId="0" fontId="60" fillId="0" borderId="54" applyNumberFormat="0" applyFill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44" fillId="12" borderId="53" applyNumberFormat="0" applyFont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8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55" applyNumberFormat="0" applyFill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  <xf numFmtId="0" fontId="44" fillId="12" borderId="53" applyNumberFormat="0" applyFont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53" applyNumberFormat="0" applyFont="0" applyAlignment="0" applyProtection="0"/>
  </cellStyleXfs>
  <cellXfs count="232">
    <xf numFmtId="0" fontId="0" fillId="0" borderId="0" xfId="0"/>
    <xf numFmtId="0" fontId="1" fillId="0" borderId="0" xfId="0" applyFont="1"/>
    <xf numFmtId="0" fontId="15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167" fontId="16" fillId="4" borderId="2" xfId="0" applyNumberFormat="1" applyFont="1" applyFill="1" applyBorder="1" applyAlignment="1">
      <alignment horizontal="center" vertical="center"/>
    </xf>
    <xf numFmtId="167" fontId="7" fillId="4" borderId="2" xfId="0" applyNumberFormat="1" applyFont="1" applyFill="1" applyBorder="1" applyAlignment="1">
      <alignment horizontal="center" vertical="center"/>
    </xf>
    <xf numFmtId="0" fontId="17" fillId="0" borderId="0" xfId="0" applyFont="1"/>
    <xf numFmtId="0" fontId="7" fillId="2" borderId="2" xfId="0" applyFont="1" applyFill="1" applyBorder="1" applyAlignment="1">
      <alignment horizontal="center" vertical="center"/>
    </xf>
    <xf numFmtId="167" fontId="16" fillId="2" borderId="2" xfId="0" applyNumberFormat="1" applyFont="1" applyFill="1" applyBorder="1" applyAlignment="1">
      <alignment horizontal="center" vertical="center"/>
    </xf>
    <xf numFmtId="167" fontId="7" fillId="2" borderId="2" xfId="0" applyNumberFormat="1" applyFont="1" applyFill="1" applyBorder="1" applyAlignment="1">
      <alignment horizontal="center" vertical="center"/>
    </xf>
    <xf numFmtId="167" fontId="16" fillId="3" borderId="2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5" fontId="18" fillId="4" borderId="2" xfId="0" applyNumberFormat="1" applyFont="1" applyFill="1" applyBorder="1" applyAlignment="1">
      <alignment horizontal="center" vertical="center"/>
    </xf>
    <xf numFmtId="165" fontId="18" fillId="2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166" fontId="19" fillId="4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0" fillId="0" borderId="0" xfId="0" applyFont="1"/>
    <xf numFmtId="166" fontId="19" fillId="4" borderId="3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 readingOrder="2"/>
    </xf>
    <xf numFmtId="0" fontId="27" fillId="2" borderId="0" xfId="0" applyFont="1" applyFill="1" applyBorder="1"/>
    <xf numFmtId="0" fontId="4" fillId="3" borderId="5" xfId="0" applyFont="1" applyFill="1" applyBorder="1" applyAlignment="1">
      <alignment horizontal="center" vertical="center" wrapText="1" readingOrder="2"/>
    </xf>
    <xf numFmtId="1" fontId="12" fillId="4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 readingOrder="2"/>
    </xf>
    <xf numFmtId="0" fontId="10" fillId="3" borderId="5" xfId="0" applyFont="1" applyFill="1" applyBorder="1" applyAlignment="1">
      <alignment horizontal="center" vertical="center" wrapText="1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2"/>
    </xf>
    <xf numFmtId="0" fontId="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top" wrapText="1" readingOrder="1"/>
    </xf>
    <xf numFmtId="0" fontId="10" fillId="3" borderId="5" xfId="0" applyFont="1" applyFill="1" applyBorder="1" applyAlignment="1">
      <alignment horizontal="center" wrapText="1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166" fontId="6" fillId="3" borderId="16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right" vertical="center" readingOrder="2"/>
    </xf>
    <xf numFmtId="167" fontId="35" fillId="0" borderId="0" xfId="0" applyNumberFormat="1" applyFont="1" applyAlignment="1">
      <alignment horizontal="right" vertical="center" readingOrder="2"/>
    </xf>
    <xf numFmtId="167" fontId="35" fillId="0" borderId="0" xfId="0" applyNumberFormat="1" applyFont="1" applyAlignment="1">
      <alignment horizontal="right" vertical="center" wrapText="1" readingOrder="2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 readingOrder="2"/>
    </xf>
    <xf numFmtId="0" fontId="10" fillId="3" borderId="13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center" wrapText="1" readingOrder="2"/>
    </xf>
    <xf numFmtId="0" fontId="0" fillId="0" borderId="0" xfId="0" applyAlignment="1">
      <alignment wrapText="1"/>
    </xf>
    <xf numFmtId="0" fontId="37" fillId="5" borderId="0" xfId="6" applyFont="1" applyFill="1" applyAlignment="1">
      <alignment vertical="center"/>
    </xf>
    <xf numFmtId="0" fontId="39" fillId="2" borderId="0" xfId="7" applyFont="1" applyFill="1" applyBorder="1" applyAlignment="1" applyProtection="1">
      <alignment vertical="center"/>
    </xf>
    <xf numFmtId="0" fontId="37" fillId="2" borderId="0" xfId="0" applyFont="1" applyFill="1" applyBorder="1" applyAlignment="1">
      <alignment horizontal="left" vertical="center" readingOrder="1"/>
    </xf>
    <xf numFmtId="0" fontId="37" fillId="2" borderId="0" xfId="0" applyFont="1" applyFill="1" applyBorder="1" applyAlignment="1">
      <alignment horizontal="right" vertical="center" readingOrder="2"/>
    </xf>
    <xf numFmtId="0" fontId="30" fillId="2" borderId="0" xfId="0" applyFont="1" applyFill="1" applyBorder="1" applyAlignment="1">
      <alignment vertical="center"/>
    </xf>
    <xf numFmtId="49" fontId="40" fillId="2" borderId="0" xfId="6" applyNumberFormat="1" applyFont="1" applyFill="1" applyBorder="1" applyAlignment="1">
      <alignment horizontal="center" vertical="center" readingOrder="1"/>
    </xf>
    <xf numFmtId="0" fontId="30" fillId="2" borderId="0" xfId="0" applyFont="1" applyFill="1" applyBorder="1" applyAlignment="1">
      <alignment vertical="center" readingOrder="2"/>
    </xf>
    <xf numFmtId="49" fontId="41" fillId="2" borderId="0" xfId="7" applyNumberFormat="1" applyFont="1" applyFill="1" applyBorder="1" applyAlignment="1" applyProtection="1">
      <alignment horizontal="center" vertical="center" readingOrder="1"/>
    </xf>
    <xf numFmtId="165" fontId="18" fillId="2" borderId="1" xfId="0" applyNumberFormat="1" applyFont="1" applyFill="1" applyBorder="1" applyAlignment="1">
      <alignment horizontal="center" vertical="center"/>
    </xf>
    <xf numFmtId="167" fontId="16" fillId="2" borderId="1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 readingOrder="1"/>
    </xf>
    <xf numFmtId="0" fontId="24" fillId="2" borderId="0" xfId="0" applyFont="1" applyFill="1" applyBorder="1" applyAlignment="1">
      <alignment horizontal="left" vertical="center" readingOrder="1"/>
    </xf>
    <xf numFmtId="0" fontId="28" fillId="2" borderId="0" xfId="0" applyFont="1" applyFill="1" applyBorder="1" applyAlignment="1">
      <alignment horizontal="center" vertical="center" readingOrder="1"/>
    </xf>
    <xf numFmtId="0" fontId="28" fillId="2" borderId="0" xfId="0" applyFont="1" applyFill="1" applyBorder="1" applyAlignment="1">
      <alignment horizontal="center" vertical="center" wrapText="1" readingOrder="2"/>
    </xf>
    <xf numFmtId="0" fontId="25" fillId="2" borderId="0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readingOrder="1"/>
    </xf>
    <xf numFmtId="165" fontId="18" fillId="2" borderId="0" xfId="0" applyNumberFormat="1" applyFont="1" applyFill="1" applyBorder="1" applyAlignment="1">
      <alignment horizontal="center" vertical="center"/>
    </xf>
    <xf numFmtId="167" fontId="16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1" fontId="18" fillId="4" borderId="1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 readingOrder="1"/>
    </xf>
    <xf numFmtId="0" fontId="6" fillId="3" borderId="18" xfId="0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6" fillId="2" borderId="0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 wrapText="1" readingOrder="2"/>
    </xf>
    <xf numFmtId="0" fontId="14" fillId="0" borderId="0" xfId="0" applyFont="1" applyFill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26" fillId="2" borderId="0" xfId="0" applyFont="1" applyFill="1" applyBorder="1" applyAlignment="1">
      <alignment horizontal="left" wrapText="1" readingOrder="1"/>
    </xf>
    <xf numFmtId="0" fontId="0" fillId="0" borderId="0" xfId="0" applyAlignment="1">
      <alignment vertical="center" wrapText="1"/>
    </xf>
    <xf numFmtId="0" fontId="0" fillId="0" borderId="0" xfId="0" applyBorder="1"/>
    <xf numFmtId="0" fontId="6" fillId="3" borderId="5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167" fontId="6" fillId="3" borderId="2" xfId="0" applyNumberFormat="1" applyFont="1" applyFill="1" applyBorder="1" applyAlignment="1">
      <alignment horizontal="center" vertical="center"/>
    </xf>
    <xf numFmtId="167" fontId="22" fillId="3" borderId="2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top" wrapText="1" readingOrder="1"/>
    </xf>
    <xf numFmtId="167" fontId="6" fillId="3" borderId="2" xfId="0" applyNumberFormat="1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1" fontId="12" fillId="4" borderId="34" xfId="0" applyNumberFormat="1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36" fillId="3" borderId="6" xfId="0" applyFont="1" applyFill="1" applyBorder="1" applyAlignment="1">
      <alignment horizontal="center" vertical="center" wrapText="1" readingOrder="2"/>
    </xf>
    <xf numFmtId="0" fontId="36" fillId="3" borderId="14" xfId="0" applyFont="1" applyFill="1" applyBorder="1" applyAlignment="1">
      <alignment horizontal="center" vertical="center" wrapText="1" readingOrder="2"/>
    </xf>
    <xf numFmtId="0" fontId="20" fillId="0" borderId="0" xfId="0" applyFont="1" applyAlignment="1">
      <alignment vertical="center"/>
    </xf>
    <xf numFmtId="0" fontId="32" fillId="2" borderId="0" xfId="0" applyFont="1" applyFill="1" applyBorder="1" applyAlignment="1">
      <alignment vertical="center" readingOrder="1"/>
    </xf>
    <xf numFmtId="0" fontId="30" fillId="2" borderId="0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center" vertical="center" wrapText="1" readingOrder="1"/>
    </xf>
    <xf numFmtId="0" fontId="19" fillId="0" borderId="2" xfId="0" applyFont="1" applyFill="1" applyBorder="1" applyAlignment="1">
      <alignment horizontal="center" vertical="center"/>
    </xf>
    <xf numFmtId="166" fontId="19" fillId="0" borderId="2" xfId="0" applyNumberFormat="1" applyFont="1" applyFill="1" applyBorder="1" applyAlignment="1">
      <alignment horizontal="center" vertical="center"/>
    </xf>
    <xf numFmtId="166" fontId="35" fillId="0" borderId="0" xfId="0" applyNumberFormat="1" applyFont="1" applyFill="1" applyAlignment="1">
      <alignment vertical="center"/>
    </xf>
    <xf numFmtId="167" fontId="35" fillId="0" borderId="0" xfId="0" applyNumberFormat="1" applyFont="1" applyAlignment="1">
      <alignment vertical="center" wrapText="1" readingOrder="2"/>
    </xf>
    <xf numFmtId="0" fontId="29" fillId="2" borderId="39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horizontal="center" vertical="center" wrapText="1" readingOrder="1"/>
    </xf>
    <xf numFmtId="0" fontId="32" fillId="2" borderId="39" xfId="0" applyFont="1" applyFill="1" applyBorder="1" applyAlignment="1">
      <alignment horizontal="center" vertical="center" wrapText="1" readingOrder="1"/>
    </xf>
    <xf numFmtId="0" fontId="32" fillId="2" borderId="5" xfId="0" applyFont="1" applyFill="1" applyBorder="1" applyAlignment="1">
      <alignment horizontal="center" vertical="center" wrapText="1" readingOrder="1"/>
    </xf>
    <xf numFmtId="0" fontId="31" fillId="2" borderId="40" xfId="0" applyFont="1" applyFill="1" applyBorder="1" applyAlignment="1">
      <alignment horizontal="left" wrapText="1"/>
    </xf>
    <xf numFmtId="0" fontId="32" fillId="2" borderId="4" xfId="0" applyFont="1" applyFill="1" applyBorder="1" applyAlignment="1">
      <alignment vertical="center" readingOrder="1"/>
    </xf>
    <xf numFmtId="0" fontId="31" fillId="2" borderId="4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vertical="center" wrapText="1"/>
    </xf>
    <xf numFmtId="166" fontId="19" fillId="0" borderId="3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top" wrapText="1" readingOrder="1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21" fillId="0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 readingOrder="2"/>
    </xf>
    <xf numFmtId="0" fontId="6" fillId="3" borderId="41" xfId="0" applyFont="1" applyFill="1" applyBorder="1" applyAlignment="1">
      <alignment horizontal="center" vertical="center"/>
    </xf>
    <xf numFmtId="167" fontId="6" fillId="3" borderId="41" xfId="0" applyNumberFormat="1" applyFont="1" applyFill="1" applyBorder="1" applyAlignment="1">
      <alignment vertical="center"/>
    </xf>
    <xf numFmtId="167" fontId="6" fillId="3" borderId="41" xfId="0" applyNumberFormat="1" applyFont="1" applyFill="1" applyBorder="1" applyAlignment="1">
      <alignment horizontal="center" vertical="center"/>
    </xf>
    <xf numFmtId="0" fontId="0" fillId="0" borderId="42" xfId="0" applyBorder="1"/>
    <xf numFmtId="167" fontId="17" fillId="0" borderId="0" xfId="0" applyNumberFormat="1" applyFont="1"/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15" fillId="0" borderId="0" xfId="0" applyFont="1" applyFill="1" applyAlignment="1">
      <alignment vertical="top"/>
    </xf>
    <xf numFmtId="0" fontId="10" fillId="3" borderId="5" xfId="0" applyFont="1" applyFill="1" applyBorder="1" applyAlignment="1">
      <alignment horizontal="center" vertical="center" wrapText="1" readingOrder="2"/>
    </xf>
    <xf numFmtId="0" fontId="36" fillId="3" borderId="43" xfId="0" applyFont="1" applyFill="1" applyBorder="1" applyAlignment="1">
      <alignment horizontal="center" vertical="center" wrapText="1" readingOrder="2"/>
    </xf>
    <xf numFmtId="0" fontId="36" fillId="3" borderId="5" xfId="0" applyFont="1" applyFill="1" applyBorder="1" applyAlignment="1">
      <alignment horizontal="center" vertical="center" wrapText="1" readingOrder="2"/>
    </xf>
    <xf numFmtId="0" fontId="36" fillId="3" borderId="45" xfId="0" applyFont="1" applyFill="1" applyBorder="1" applyAlignment="1">
      <alignment horizontal="center" vertical="center" wrapText="1" readingOrder="2"/>
    </xf>
    <xf numFmtId="166" fontId="20" fillId="4" borderId="2" xfId="0" applyNumberFormat="1" applyFont="1" applyFill="1" applyBorder="1" applyAlignment="1">
      <alignment horizontal="center" vertical="center"/>
    </xf>
    <xf numFmtId="166" fontId="20" fillId="0" borderId="2" xfId="0" applyNumberFormat="1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166" fontId="21" fillId="0" borderId="2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top"/>
    </xf>
    <xf numFmtId="0" fontId="21" fillId="4" borderId="1" xfId="0" applyFont="1" applyFill="1" applyBorder="1" applyAlignment="1">
      <alignment horizontal="center" vertical="center"/>
    </xf>
    <xf numFmtId="166" fontId="19" fillId="4" borderId="1" xfId="0" applyNumberFormat="1" applyFont="1" applyFill="1" applyBorder="1" applyAlignment="1">
      <alignment horizontal="center" vertical="center"/>
    </xf>
    <xf numFmtId="166" fontId="20" fillId="4" borderId="1" xfId="0" applyNumberFormat="1" applyFont="1" applyFill="1" applyBorder="1" applyAlignment="1">
      <alignment horizontal="center" vertical="center"/>
    </xf>
    <xf numFmtId="0" fontId="28" fillId="2" borderId="0" xfId="6" applyFont="1" applyFill="1" applyBorder="1" applyAlignment="1">
      <alignment horizontal="center" vertical="center"/>
    </xf>
    <xf numFmtId="0" fontId="30" fillId="2" borderId="0" xfId="6" applyFont="1" applyFill="1" applyBorder="1" applyAlignment="1">
      <alignment horizontal="center" vertical="center" wrapText="1"/>
    </xf>
    <xf numFmtId="0" fontId="30" fillId="2" borderId="0" xfId="6" applyFont="1" applyFill="1" applyBorder="1" applyAlignment="1">
      <alignment horizontal="center" vertical="center"/>
    </xf>
    <xf numFmtId="0" fontId="24" fillId="2" borderId="0" xfId="6" applyFont="1" applyFill="1" applyBorder="1" applyAlignment="1">
      <alignment horizontal="center" vertical="center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/>
    </xf>
    <xf numFmtId="0" fontId="14" fillId="0" borderId="0" xfId="0" applyFont="1" applyAlignment="1">
      <alignment horizontal="right" vertical="top" wrapText="1" readingOrder="2"/>
    </xf>
    <xf numFmtId="0" fontId="28" fillId="2" borderId="0" xfId="0" applyFont="1" applyFill="1" applyBorder="1" applyAlignment="1">
      <alignment horizontal="right" vertical="center" readingOrder="1"/>
    </xf>
    <xf numFmtId="0" fontId="28" fillId="2" borderId="0" xfId="0" applyFont="1" applyFill="1" applyBorder="1" applyAlignment="1">
      <alignment horizontal="left" vertical="center" readingOrder="1"/>
    </xf>
    <xf numFmtId="0" fontId="29" fillId="2" borderId="0" xfId="0" applyFont="1" applyFill="1" applyBorder="1" applyAlignment="1">
      <alignment horizontal="center" vertical="center" readingOrder="1"/>
    </xf>
    <xf numFmtId="0" fontId="28" fillId="2" borderId="0" xfId="0" applyFont="1" applyFill="1" applyBorder="1" applyAlignment="1">
      <alignment horizontal="center" vertical="center" wrapText="1" readingOrder="2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 readingOrder="2"/>
    </xf>
    <xf numFmtId="0" fontId="6" fillId="3" borderId="20" xfId="0" applyFont="1" applyFill="1" applyBorder="1" applyAlignment="1">
      <alignment horizontal="center" vertical="center" wrapText="1" readingOrder="2"/>
    </xf>
    <xf numFmtId="0" fontId="10" fillId="3" borderId="7" xfId="0" applyFont="1" applyFill="1" applyBorder="1" applyAlignment="1">
      <alignment horizontal="center" vertical="center" wrapText="1" readingOrder="2"/>
    </xf>
    <xf numFmtId="0" fontId="10" fillId="3" borderId="5" xfId="0" applyFont="1" applyFill="1" applyBorder="1" applyAlignment="1">
      <alignment horizontal="center" vertical="center" wrapText="1" readingOrder="2"/>
    </xf>
    <xf numFmtId="0" fontId="10" fillId="3" borderId="15" xfId="0" applyFont="1" applyFill="1" applyBorder="1" applyAlignment="1">
      <alignment horizontal="center" vertical="center" wrapText="1" readingOrder="2"/>
    </xf>
    <xf numFmtId="0" fontId="42" fillId="0" borderId="0" xfId="0" applyFont="1" applyFill="1" applyAlignment="1">
      <alignment horizontal="left" vertical="top" wrapText="1"/>
    </xf>
    <xf numFmtId="0" fontId="6" fillId="3" borderId="7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3" fillId="3" borderId="10" xfId="0" applyFont="1" applyFill="1" applyBorder="1" applyAlignment="1">
      <alignment horizontal="center" vertical="center" wrapText="1" readingOrder="2"/>
    </xf>
    <xf numFmtId="0" fontId="3" fillId="3" borderId="12" xfId="0" applyFont="1" applyFill="1" applyBorder="1" applyAlignment="1">
      <alignment horizontal="center" vertical="center" wrapText="1" readingOrder="2"/>
    </xf>
    <xf numFmtId="0" fontId="3" fillId="3" borderId="14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top" wrapText="1" readingOrder="1"/>
    </xf>
    <xf numFmtId="0" fontId="6" fillId="3" borderId="7" xfId="0" applyFont="1" applyFill="1" applyBorder="1" applyAlignment="1">
      <alignment horizontal="center" vertical="top" wrapText="1" readingOrder="1"/>
    </xf>
    <xf numFmtId="0" fontId="36" fillId="3" borderId="19" xfId="0" applyFont="1" applyFill="1" applyBorder="1" applyAlignment="1">
      <alignment horizontal="center" vertical="center" wrapText="1" readingOrder="2"/>
    </xf>
    <xf numFmtId="0" fontId="6" fillId="3" borderId="21" xfId="0" applyFont="1" applyFill="1" applyBorder="1" applyAlignment="1">
      <alignment horizontal="center" vertical="top" wrapText="1" readingOrder="1"/>
    </xf>
    <xf numFmtId="0" fontId="36" fillId="3" borderId="20" xfId="0" applyFont="1" applyFill="1" applyBorder="1" applyAlignment="1">
      <alignment horizontal="center" vertical="center" wrapText="1" readingOrder="2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 readingOrder="1"/>
    </xf>
    <xf numFmtId="0" fontId="26" fillId="2" borderId="0" xfId="0" applyFont="1" applyFill="1" applyBorder="1" applyAlignment="1">
      <alignment horizontal="left" vertical="center" wrapText="1" readingOrder="1"/>
    </xf>
    <xf numFmtId="0" fontId="24" fillId="2" borderId="0" xfId="0" applyFont="1" applyFill="1" applyBorder="1" applyAlignment="1">
      <alignment horizontal="right" vertical="center" readingOrder="1"/>
    </xf>
    <xf numFmtId="0" fontId="14" fillId="0" borderId="0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22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3" borderId="21" xfId="0" applyFont="1" applyFill="1" applyBorder="1" applyAlignment="1">
      <alignment horizontal="center" vertical="center" wrapText="1" readingOrder="2"/>
    </xf>
    <xf numFmtId="0" fontId="6" fillId="3" borderId="21" xfId="0" applyFont="1" applyFill="1" applyBorder="1" applyAlignment="1">
      <alignment horizontal="center" vertical="center" wrapText="1" readingOrder="1"/>
    </xf>
    <xf numFmtId="0" fontId="6" fillId="3" borderId="23" xfId="0" applyFont="1" applyFill="1" applyBorder="1" applyAlignment="1">
      <alignment horizontal="center" vertical="center" wrapText="1" readingOrder="1"/>
    </xf>
    <xf numFmtId="0" fontId="29" fillId="2" borderId="0" xfId="0" applyFont="1" applyFill="1" applyBorder="1" applyAlignment="1">
      <alignment horizontal="center" readingOrder="1"/>
    </xf>
    <xf numFmtId="0" fontId="25" fillId="2" borderId="0" xfId="0" applyFont="1" applyFill="1" applyBorder="1" applyAlignment="1">
      <alignment horizontal="center" vertical="center" readingOrder="1"/>
    </xf>
    <xf numFmtId="0" fontId="24" fillId="2" borderId="0" xfId="0" applyFont="1" applyFill="1" applyBorder="1" applyAlignment="1">
      <alignment horizontal="left" vertical="center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6" fillId="3" borderId="15" xfId="0" applyFont="1" applyFill="1" applyBorder="1" applyAlignment="1">
      <alignment horizontal="center" vertical="center" wrapText="1" readingOrder="1"/>
    </xf>
    <xf numFmtId="0" fontId="10" fillId="3" borderId="8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right" vertical="center" readingOrder="1"/>
    </xf>
    <xf numFmtId="166" fontId="35" fillId="0" borderId="0" xfId="0" applyNumberFormat="1" applyFont="1" applyFill="1" applyAlignment="1">
      <alignment horizontal="left" vertical="center"/>
    </xf>
    <xf numFmtId="0" fontId="3" fillId="3" borderId="44" xfId="0" applyFont="1" applyFill="1" applyBorder="1" applyAlignment="1">
      <alignment horizontal="center" vertical="center" wrapText="1" readingOrder="2"/>
    </xf>
    <xf numFmtId="0" fontId="3" fillId="3" borderId="37" xfId="0" applyFont="1" applyFill="1" applyBorder="1" applyAlignment="1">
      <alignment horizontal="center" vertical="center" wrapText="1" readingOrder="2"/>
    </xf>
    <xf numFmtId="0" fontId="3" fillId="3" borderId="24" xfId="0" applyFont="1" applyFill="1" applyBorder="1" applyAlignment="1">
      <alignment horizontal="center" vertical="center" wrapText="1" readingOrder="2"/>
    </xf>
    <xf numFmtId="0" fontId="3" fillId="3" borderId="38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1"/>
    </xf>
    <xf numFmtId="0" fontId="32" fillId="2" borderId="0" xfId="0" applyFont="1" applyFill="1" applyBorder="1" applyAlignment="1">
      <alignment horizontal="left" vertical="center" readingOrder="1"/>
    </xf>
    <xf numFmtId="0" fontId="2" fillId="0" borderId="0" xfId="0" applyFont="1" applyAlignment="1">
      <alignment horizontal="center"/>
    </xf>
    <xf numFmtId="0" fontId="36" fillId="3" borderId="10" xfId="0" applyFont="1" applyFill="1" applyBorder="1" applyAlignment="1">
      <alignment horizontal="center" vertical="center" wrapText="1" readingOrder="2"/>
    </xf>
    <xf numFmtId="0" fontId="36" fillId="3" borderId="14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1"/>
    </xf>
    <xf numFmtId="0" fontId="28" fillId="2" borderId="4" xfId="0" applyFont="1" applyFill="1" applyBorder="1" applyAlignment="1">
      <alignment horizontal="left" vertical="center" readingOrder="1"/>
    </xf>
    <xf numFmtId="0" fontId="10" fillId="3" borderId="8" xfId="0" applyFont="1" applyFill="1" applyBorder="1" applyAlignment="1">
      <alignment horizontal="center" vertical="center" wrapText="1" readingOrder="2"/>
    </xf>
    <xf numFmtId="0" fontId="10" fillId="3" borderId="11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8" fillId="2" borderId="28" xfId="0" applyFont="1" applyFill="1" applyBorder="1" applyAlignment="1">
      <alignment horizontal="right" vertical="center" readingOrder="1"/>
    </xf>
    <xf numFmtId="0" fontId="28" fillId="2" borderId="29" xfId="0" applyFont="1" applyFill="1" applyBorder="1" applyAlignment="1">
      <alignment horizontal="right" vertical="center" readingOrder="1"/>
    </xf>
    <xf numFmtId="0" fontId="28" fillId="2" borderId="30" xfId="0" applyFont="1" applyFill="1" applyBorder="1" applyAlignment="1">
      <alignment horizontal="right" vertical="center" readingOrder="1"/>
    </xf>
    <xf numFmtId="0" fontId="29" fillId="2" borderId="31" xfId="0" applyFont="1" applyFill="1" applyBorder="1" applyAlignment="1">
      <alignment horizontal="center" vertical="center" readingOrder="1"/>
    </xf>
    <xf numFmtId="0" fontId="29" fillId="2" borderId="32" xfId="0" applyFont="1" applyFill="1" applyBorder="1" applyAlignment="1">
      <alignment horizontal="center" vertical="center" readingOrder="1"/>
    </xf>
    <xf numFmtId="0" fontId="29" fillId="2" borderId="33" xfId="0" applyFont="1" applyFill="1" applyBorder="1" applyAlignment="1">
      <alignment horizontal="center" vertical="center" readingOrder="1"/>
    </xf>
  </cellXfs>
  <cellStyles count="23889">
    <cellStyle name="20% - Accent1 10" xfId="9" xr:uid="{00000000-0005-0000-0000-000000000000}"/>
    <cellStyle name="20% - Accent1 10 2" xfId="10" xr:uid="{00000000-0005-0000-0000-000001000000}"/>
    <cellStyle name="20% - Accent1 11" xfId="11" xr:uid="{00000000-0005-0000-0000-000002000000}"/>
    <cellStyle name="20% - Accent1 12" xfId="12" xr:uid="{00000000-0005-0000-0000-000003000000}"/>
    <cellStyle name="20% - Accent1 13" xfId="13" xr:uid="{00000000-0005-0000-0000-000004000000}"/>
    <cellStyle name="20% - Accent1 14" xfId="14" xr:uid="{00000000-0005-0000-0000-000005000000}"/>
    <cellStyle name="20% - Accent1 2" xfId="15" xr:uid="{00000000-0005-0000-0000-000006000000}"/>
    <cellStyle name="20% - Accent1 2 10" xfId="16" xr:uid="{00000000-0005-0000-0000-000007000000}"/>
    <cellStyle name="20% - Accent1 2 2" xfId="17" xr:uid="{00000000-0005-0000-0000-000008000000}"/>
    <cellStyle name="20% - Accent1 2 2 2" xfId="18" xr:uid="{00000000-0005-0000-0000-000009000000}"/>
    <cellStyle name="20% - Accent1 2 2 2 2" xfId="19" xr:uid="{00000000-0005-0000-0000-00000A000000}"/>
    <cellStyle name="20% - Accent1 2 2 2 2 2" xfId="20" xr:uid="{00000000-0005-0000-0000-00000B000000}"/>
    <cellStyle name="20% - Accent1 2 2 2 2 2 2" xfId="21" xr:uid="{00000000-0005-0000-0000-00000C000000}"/>
    <cellStyle name="20% - Accent1 2 2 2 2 2 2 2" xfId="22" xr:uid="{00000000-0005-0000-0000-00000D000000}"/>
    <cellStyle name="20% - Accent1 2 2 2 2 2 2 2 2" xfId="23" xr:uid="{00000000-0005-0000-0000-00000E000000}"/>
    <cellStyle name="20% - Accent1 2 2 2 2 2 2 2 2 2" xfId="24" xr:uid="{00000000-0005-0000-0000-00000F000000}"/>
    <cellStyle name="20% - Accent1 2 2 2 2 2 2 2 2 2 2" xfId="25" xr:uid="{00000000-0005-0000-0000-000010000000}"/>
    <cellStyle name="20% - Accent1 2 2 2 2 2 2 2 2 3" xfId="26" xr:uid="{00000000-0005-0000-0000-000011000000}"/>
    <cellStyle name="20% - Accent1 2 2 2 2 2 2 2 3" xfId="27" xr:uid="{00000000-0005-0000-0000-000012000000}"/>
    <cellStyle name="20% - Accent1 2 2 2 2 2 2 2 3 2" xfId="28" xr:uid="{00000000-0005-0000-0000-000013000000}"/>
    <cellStyle name="20% - Accent1 2 2 2 2 2 2 2 4" xfId="29" xr:uid="{00000000-0005-0000-0000-000014000000}"/>
    <cellStyle name="20% - Accent1 2 2 2 2 2 2 3" xfId="30" xr:uid="{00000000-0005-0000-0000-000015000000}"/>
    <cellStyle name="20% - Accent1 2 2 2 2 2 2 3 2" xfId="31" xr:uid="{00000000-0005-0000-0000-000016000000}"/>
    <cellStyle name="20% - Accent1 2 2 2 2 2 2 3 2 2" xfId="32" xr:uid="{00000000-0005-0000-0000-000017000000}"/>
    <cellStyle name="20% - Accent1 2 2 2 2 2 2 3 3" xfId="33" xr:uid="{00000000-0005-0000-0000-000018000000}"/>
    <cellStyle name="20% - Accent1 2 2 2 2 2 2 4" xfId="34" xr:uid="{00000000-0005-0000-0000-000019000000}"/>
    <cellStyle name="20% - Accent1 2 2 2 2 2 2 4 2" xfId="35" xr:uid="{00000000-0005-0000-0000-00001A000000}"/>
    <cellStyle name="20% - Accent1 2 2 2 2 2 2 5" xfId="36" xr:uid="{00000000-0005-0000-0000-00001B000000}"/>
    <cellStyle name="20% - Accent1 2 2 2 2 2 3" xfId="37" xr:uid="{00000000-0005-0000-0000-00001C000000}"/>
    <cellStyle name="20% - Accent1 2 2 2 2 2 3 2" xfId="38" xr:uid="{00000000-0005-0000-0000-00001D000000}"/>
    <cellStyle name="20% - Accent1 2 2 2 2 2 3 2 2" xfId="39" xr:uid="{00000000-0005-0000-0000-00001E000000}"/>
    <cellStyle name="20% - Accent1 2 2 2 2 2 3 2 2 2" xfId="40" xr:uid="{00000000-0005-0000-0000-00001F000000}"/>
    <cellStyle name="20% - Accent1 2 2 2 2 2 3 2 3" xfId="41" xr:uid="{00000000-0005-0000-0000-000020000000}"/>
    <cellStyle name="20% - Accent1 2 2 2 2 2 3 3" xfId="42" xr:uid="{00000000-0005-0000-0000-000021000000}"/>
    <cellStyle name="20% - Accent1 2 2 2 2 2 3 3 2" xfId="43" xr:uid="{00000000-0005-0000-0000-000022000000}"/>
    <cellStyle name="20% - Accent1 2 2 2 2 2 3 4" xfId="44" xr:uid="{00000000-0005-0000-0000-000023000000}"/>
    <cellStyle name="20% - Accent1 2 2 2 2 2 4" xfId="45" xr:uid="{00000000-0005-0000-0000-000024000000}"/>
    <cellStyle name="20% - Accent1 2 2 2 2 2 4 2" xfId="46" xr:uid="{00000000-0005-0000-0000-000025000000}"/>
    <cellStyle name="20% - Accent1 2 2 2 2 2 4 2 2" xfId="47" xr:uid="{00000000-0005-0000-0000-000026000000}"/>
    <cellStyle name="20% - Accent1 2 2 2 2 2 4 3" xfId="48" xr:uid="{00000000-0005-0000-0000-000027000000}"/>
    <cellStyle name="20% - Accent1 2 2 2 2 2 5" xfId="49" xr:uid="{00000000-0005-0000-0000-000028000000}"/>
    <cellStyle name="20% - Accent1 2 2 2 2 2 5 2" xfId="50" xr:uid="{00000000-0005-0000-0000-000029000000}"/>
    <cellStyle name="20% - Accent1 2 2 2 2 2 6" xfId="51" xr:uid="{00000000-0005-0000-0000-00002A000000}"/>
    <cellStyle name="20% - Accent1 2 2 2 2 3" xfId="52" xr:uid="{00000000-0005-0000-0000-00002B000000}"/>
    <cellStyle name="20% - Accent1 2 2 2 2 3 2" xfId="53" xr:uid="{00000000-0005-0000-0000-00002C000000}"/>
    <cellStyle name="20% - Accent1 2 2 2 2 3 2 2" xfId="54" xr:uid="{00000000-0005-0000-0000-00002D000000}"/>
    <cellStyle name="20% - Accent1 2 2 2 2 3 2 2 2" xfId="55" xr:uid="{00000000-0005-0000-0000-00002E000000}"/>
    <cellStyle name="20% - Accent1 2 2 2 2 3 2 2 2 2" xfId="56" xr:uid="{00000000-0005-0000-0000-00002F000000}"/>
    <cellStyle name="20% - Accent1 2 2 2 2 3 2 2 3" xfId="57" xr:uid="{00000000-0005-0000-0000-000030000000}"/>
    <cellStyle name="20% - Accent1 2 2 2 2 3 2 3" xfId="58" xr:uid="{00000000-0005-0000-0000-000031000000}"/>
    <cellStyle name="20% - Accent1 2 2 2 2 3 2 3 2" xfId="59" xr:uid="{00000000-0005-0000-0000-000032000000}"/>
    <cellStyle name="20% - Accent1 2 2 2 2 3 2 4" xfId="60" xr:uid="{00000000-0005-0000-0000-000033000000}"/>
    <cellStyle name="20% - Accent1 2 2 2 2 3 3" xfId="61" xr:uid="{00000000-0005-0000-0000-000034000000}"/>
    <cellStyle name="20% - Accent1 2 2 2 2 3 3 2" xfId="62" xr:uid="{00000000-0005-0000-0000-000035000000}"/>
    <cellStyle name="20% - Accent1 2 2 2 2 3 3 2 2" xfId="63" xr:uid="{00000000-0005-0000-0000-000036000000}"/>
    <cellStyle name="20% - Accent1 2 2 2 2 3 3 3" xfId="64" xr:uid="{00000000-0005-0000-0000-000037000000}"/>
    <cellStyle name="20% - Accent1 2 2 2 2 3 4" xfId="65" xr:uid="{00000000-0005-0000-0000-000038000000}"/>
    <cellStyle name="20% - Accent1 2 2 2 2 3 4 2" xfId="66" xr:uid="{00000000-0005-0000-0000-000039000000}"/>
    <cellStyle name="20% - Accent1 2 2 2 2 3 5" xfId="67" xr:uid="{00000000-0005-0000-0000-00003A000000}"/>
    <cellStyle name="20% - Accent1 2 2 2 2 4" xfId="68" xr:uid="{00000000-0005-0000-0000-00003B000000}"/>
    <cellStyle name="20% - Accent1 2 2 2 2 4 2" xfId="69" xr:uid="{00000000-0005-0000-0000-00003C000000}"/>
    <cellStyle name="20% - Accent1 2 2 2 2 4 2 2" xfId="70" xr:uid="{00000000-0005-0000-0000-00003D000000}"/>
    <cellStyle name="20% - Accent1 2 2 2 2 4 2 2 2" xfId="71" xr:uid="{00000000-0005-0000-0000-00003E000000}"/>
    <cellStyle name="20% - Accent1 2 2 2 2 4 2 3" xfId="72" xr:uid="{00000000-0005-0000-0000-00003F000000}"/>
    <cellStyle name="20% - Accent1 2 2 2 2 4 3" xfId="73" xr:uid="{00000000-0005-0000-0000-000040000000}"/>
    <cellStyle name="20% - Accent1 2 2 2 2 4 3 2" xfId="74" xr:uid="{00000000-0005-0000-0000-000041000000}"/>
    <cellStyle name="20% - Accent1 2 2 2 2 4 4" xfId="75" xr:uid="{00000000-0005-0000-0000-000042000000}"/>
    <cellStyle name="20% - Accent1 2 2 2 2 5" xfId="76" xr:uid="{00000000-0005-0000-0000-000043000000}"/>
    <cellStyle name="20% - Accent1 2 2 2 2 5 2" xfId="77" xr:uid="{00000000-0005-0000-0000-000044000000}"/>
    <cellStyle name="20% - Accent1 2 2 2 2 5 2 2" xfId="78" xr:uid="{00000000-0005-0000-0000-000045000000}"/>
    <cellStyle name="20% - Accent1 2 2 2 2 5 3" xfId="79" xr:uid="{00000000-0005-0000-0000-000046000000}"/>
    <cellStyle name="20% - Accent1 2 2 2 2 6" xfId="80" xr:uid="{00000000-0005-0000-0000-000047000000}"/>
    <cellStyle name="20% - Accent1 2 2 2 2 6 2" xfId="81" xr:uid="{00000000-0005-0000-0000-000048000000}"/>
    <cellStyle name="20% - Accent1 2 2 2 2 7" xfId="82" xr:uid="{00000000-0005-0000-0000-000049000000}"/>
    <cellStyle name="20% - Accent1 2 2 2 3" xfId="83" xr:uid="{00000000-0005-0000-0000-00004A000000}"/>
    <cellStyle name="20% - Accent1 2 2 2 3 2" xfId="84" xr:uid="{00000000-0005-0000-0000-00004B000000}"/>
    <cellStyle name="20% - Accent1 2 2 2 3 2 2" xfId="85" xr:uid="{00000000-0005-0000-0000-00004C000000}"/>
    <cellStyle name="20% - Accent1 2 2 2 3 2 2 2" xfId="86" xr:uid="{00000000-0005-0000-0000-00004D000000}"/>
    <cellStyle name="20% - Accent1 2 2 2 3 2 2 2 2" xfId="87" xr:uid="{00000000-0005-0000-0000-00004E000000}"/>
    <cellStyle name="20% - Accent1 2 2 2 3 2 2 2 2 2" xfId="88" xr:uid="{00000000-0005-0000-0000-00004F000000}"/>
    <cellStyle name="20% - Accent1 2 2 2 3 2 2 2 3" xfId="89" xr:uid="{00000000-0005-0000-0000-000050000000}"/>
    <cellStyle name="20% - Accent1 2 2 2 3 2 2 3" xfId="90" xr:uid="{00000000-0005-0000-0000-000051000000}"/>
    <cellStyle name="20% - Accent1 2 2 2 3 2 2 3 2" xfId="91" xr:uid="{00000000-0005-0000-0000-000052000000}"/>
    <cellStyle name="20% - Accent1 2 2 2 3 2 2 4" xfId="92" xr:uid="{00000000-0005-0000-0000-000053000000}"/>
    <cellStyle name="20% - Accent1 2 2 2 3 2 3" xfId="93" xr:uid="{00000000-0005-0000-0000-000054000000}"/>
    <cellStyle name="20% - Accent1 2 2 2 3 2 3 2" xfId="94" xr:uid="{00000000-0005-0000-0000-000055000000}"/>
    <cellStyle name="20% - Accent1 2 2 2 3 2 3 2 2" xfId="95" xr:uid="{00000000-0005-0000-0000-000056000000}"/>
    <cellStyle name="20% - Accent1 2 2 2 3 2 3 3" xfId="96" xr:uid="{00000000-0005-0000-0000-000057000000}"/>
    <cellStyle name="20% - Accent1 2 2 2 3 2 4" xfId="97" xr:uid="{00000000-0005-0000-0000-000058000000}"/>
    <cellStyle name="20% - Accent1 2 2 2 3 2 4 2" xfId="98" xr:uid="{00000000-0005-0000-0000-000059000000}"/>
    <cellStyle name="20% - Accent1 2 2 2 3 2 5" xfId="99" xr:uid="{00000000-0005-0000-0000-00005A000000}"/>
    <cellStyle name="20% - Accent1 2 2 2 3 3" xfId="100" xr:uid="{00000000-0005-0000-0000-00005B000000}"/>
    <cellStyle name="20% - Accent1 2 2 2 3 3 2" xfId="101" xr:uid="{00000000-0005-0000-0000-00005C000000}"/>
    <cellStyle name="20% - Accent1 2 2 2 3 3 2 2" xfId="102" xr:uid="{00000000-0005-0000-0000-00005D000000}"/>
    <cellStyle name="20% - Accent1 2 2 2 3 3 2 2 2" xfId="103" xr:uid="{00000000-0005-0000-0000-00005E000000}"/>
    <cellStyle name="20% - Accent1 2 2 2 3 3 2 3" xfId="104" xr:uid="{00000000-0005-0000-0000-00005F000000}"/>
    <cellStyle name="20% - Accent1 2 2 2 3 3 3" xfId="105" xr:uid="{00000000-0005-0000-0000-000060000000}"/>
    <cellStyle name="20% - Accent1 2 2 2 3 3 3 2" xfId="106" xr:uid="{00000000-0005-0000-0000-000061000000}"/>
    <cellStyle name="20% - Accent1 2 2 2 3 3 4" xfId="107" xr:uid="{00000000-0005-0000-0000-000062000000}"/>
    <cellStyle name="20% - Accent1 2 2 2 3 4" xfId="108" xr:uid="{00000000-0005-0000-0000-000063000000}"/>
    <cellStyle name="20% - Accent1 2 2 2 3 4 2" xfId="109" xr:uid="{00000000-0005-0000-0000-000064000000}"/>
    <cellStyle name="20% - Accent1 2 2 2 3 4 2 2" xfId="110" xr:uid="{00000000-0005-0000-0000-000065000000}"/>
    <cellStyle name="20% - Accent1 2 2 2 3 4 3" xfId="111" xr:uid="{00000000-0005-0000-0000-000066000000}"/>
    <cellStyle name="20% - Accent1 2 2 2 3 5" xfId="112" xr:uid="{00000000-0005-0000-0000-000067000000}"/>
    <cellStyle name="20% - Accent1 2 2 2 3 5 2" xfId="113" xr:uid="{00000000-0005-0000-0000-000068000000}"/>
    <cellStyle name="20% - Accent1 2 2 2 3 6" xfId="114" xr:uid="{00000000-0005-0000-0000-000069000000}"/>
    <cellStyle name="20% - Accent1 2 2 2 4" xfId="115" xr:uid="{00000000-0005-0000-0000-00006A000000}"/>
    <cellStyle name="20% - Accent1 2 2 2 4 2" xfId="116" xr:uid="{00000000-0005-0000-0000-00006B000000}"/>
    <cellStyle name="20% - Accent1 2 2 2 4 2 2" xfId="117" xr:uid="{00000000-0005-0000-0000-00006C000000}"/>
    <cellStyle name="20% - Accent1 2 2 2 4 2 2 2" xfId="118" xr:uid="{00000000-0005-0000-0000-00006D000000}"/>
    <cellStyle name="20% - Accent1 2 2 2 4 2 2 2 2" xfId="119" xr:uid="{00000000-0005-0000-0000-00006E000000}"/>
    <cellStyle name="20% - Accent1 2 2 2 4 2 2 3" xfId="120" xr:uid="{00000000-0005-0000-0000-00006F000000}"/>
    <cellStyle name="20% - Accent1 2 2 2 4 2 3" xfId="121" xr:uid="{00000000-0005-0000-0000-000070000000}"/>
    <cellStyle name="20% - Accent1 2 2 2 4 2 3 2" xfId="122" xr:uid="{00000000-0005-0000-0000-000071000000}"/>
    <cellStyle name="20% - Accent1 2 2 2 4 2 4" xfId="123" xr:uid="{00000000-0005-0000-0000-000072000000}"/>
    <cellStyle name="20% - Accent1 2 2 2 4 3" xfId="124" xr:uid="{00000000-0005-0000-0000-000073000000}"/>
    <cellStyle name="20% - Accent1 2 2 2 4 3 2" xfId="125" xr:uid="{00000000-0005-0000-0000-000074000000}"/>
    <cellStyle name="20% - Accent1 2 2 2 4 3 2 2" xfId="126" xr:uid="{00000000-0005-0000-0000-000075000000}"/>
    <cellStyle name="20% - Accent1 2 2 2 4 3 3" xfId="127" xr:uid="{00000000-0005-0000-0000-000076000000}"/>
    <cellStyle name="20% - Accent1 2 2 2 4 4" xfId="128" xr:uid="{00000000-0005-0000-0000-000077000000}"/>
    <cellStyle name="20% - Accent1 2 2 2 4 4 2" xfId="129" xr:uid="{00000000-0005-0000-0000-000078000000}"/>
    <cellStyle name="20% - Accent1 2 2 2 4 5" xfId="130" xr:uid="{00000000-0005-0000-0000-000079000000}"/>
    <cellStyle name="20% - Accent1 2 2 2 5" xfId="131" xr:uid="{00000000-0005-0000-0000-00007A000000}"/>
    <cellStyle name="20% - Accent1 2 2 2 5 2" xfId="132" xr:uid="{00000000-0005-0000-0000-00007B000000}"/>
    <cellStyle name="20% - Accent1 2 2 2 5 2 2" xfId="133" xr:uid="{00000000-0005-0000-0000-00007C000000}"/>
    <cellStyle name="20% - Accent1 2 2 2 5 2 2 2" xfId="134" xr:uid="{00000000-0005-0000-0000-00007D000000}"/>
    <cellStyle name="20% - Accent1 2 2 2 5 2 3" xfId="135" xr:uid="{00000000-0005-0000-0000-00007E000000}"/>
    <cellStyle name="20% - Accent1 2 2 2 5 3" xfId="136" xr:uid="{00000000-0005-0000-0000-00007F000000}"/>
    <cellStyle name="20% - Accent1 2 2 2 5 3 2" xfId="137" xr:uid="{00000000-0005-0000-0000-000080000000}"/>
    <cellStyle name="20% - Accent1 2 2 2 5 4" xfId="138" xr:uid="{00000000-0005-0000-0000-000081000000}"/>
    <cellStyle name="20% - Accent1 2 2 2 6" xfId="139" xr:uid="{00000000-0005-0000-0000-000082000000}"/>
    <cellStyle name="20% - Accent1 2 2 2 6 2" xfId="140" xr:uid="{00000000-0005-0000-0000-000083000000}"/>
    <cellStyle name="20% - Accent1 2 2 2 6 2 2" xfId="141" xr:uid="{00000000-0005-0000-0000-000084000000}"/>
    <cellStyle name="20% - Accent1 2 2 2 6 3" xfId="142" xr:uid="{00000000-0005-0000-0000-000085000000}"/>
    <cellStyle name="20% - Accent1 2 2 2 7" xfId="143" xr:uid="{00000000-0005-0000-0000-000086000000}"/>
    <cellStyle name="20% - Accent1 2 2 2 7 2" xfId="144" xr:uid="{00000000-0005-0000-0000-000087000000}"/>
    <cellStyle name="20% - Accent1 2 2 2 8" xfId="145" xr:uid="{00000000-0005-0000-0000-000088000000}"/>
    <cellStyle name="20% - Accent1 2 2 3" xfId="146" xr:uid="{00000000-0005-0000-0000-000089000000}"/>
    <cellStyle name="20% - Accent1 2 2 3 2" xfId="147" xr:uid="{00000000-0005-0000-0000-00008A000000}"/>
    <cellStyle name="20% - Accent1 2 2 3 2 2" xfId="148" xr:uid="{00000000-0005-0000-0000-00008B000000}"/>
    <cellStyle name="20% - Accent1 2 2 3 2 2 2" xfId="149" xr:uid="{00000000-0005-0000-0000-00008C000000}"/>
    <cellStyle name="20% - Accent1 2 2 3 2 2 2 2" xfId="150" xr:uid="{00000000-0005-0000-0000-00008D000000}"/>
    <cellStyle name="20% - Accent1 2 2 3 2 2 2 2 2" xfId="151" xr:uid="{00000000-0005-0000-0000-00008E000000}"/>
    <cellStyle name="20% - Accent1 2 2 3 2 2 2 2 2 2" xfId="152" xr:uid="{00000000-0005-0000-0000-00008F000000}"/>
    <cellStyle name="20% - Accent1 2 2 3 2 2 2 2 3" xfId="153" xr:uid="{00000000-0005-0000-0000-000090000000}"/>
    <cellStyle name="20% - Accent1 2 2 3 2 2 2 3" xfId="154" xr:uid="{00000000-0005-0000-0000-000091000000}"/>
    <cellStyle name="20% - Accent1 2 2 3 2 2 2 3 2" xfId="155" xr:uid="{00000000-0005-0000-0000-000092000000}"/>
    <cellStyle name="20% - Accent1 2 2 3 2 2 2 4" xfId="156" xr:uid="{00000000-0005-0000-0000-000093000000}"/>
    <cellStyle name="20% - Accent1 2 2 3 2 2 3" xfId="157" xr:uid="{00000000-0005-0000-0000-000094000000}"/>
    <cellStyle name="20% - Accent1 2 2 3 2 2 3 2" xfId="158" xr:uid="{00000000-0005-0000-0000-000095000000}"/>
    <cellStyle name="20% - Accent1 2 2 3 2 2 3 2 2" xfId="159" xr:uid="{00000000-0005-0000-0000-000096000000}"/>
    <cellStyle name="20% - Accent1 2 2 3 2 2 3 3" xfId="160" xr:uid="{00000000-0005-0000-0000-000097000000}"/>
    <cellStyle name="20% - Accent1 2 2 3 2 2 4" xfId="161" xr:uid="{00000000-0005-0000-0000-000098000000}"/>
    <cellStyle name="20% - Accent1 2 2 3 2 2 4 2" xfId="162" xr:uid="{00000000-0005-0000-0000-000099000000}"/>
    <cellStyle name="20% - Accent1 2 2 3 2 2 5" xfId="163" xr:uid="{00000000-0005-0000-0000-00009A000000}"/>
    <cellStyle name="20% - Accent1 2 2 3 2 3" xfId="164" xr:uid="{00000000-0005-0000-0000-00009B000000}"/>
    <cellStyle name="20% - Accent1 2 2 3 2 3 2" xfId="165" xr:uid="{00000000-0005-0000-0000-00009C000000}"/>
    <cellStyle name="20% - Accent1 2 2 3 2 3 2 2" xfId="166" xr:uid="{00000000-0005-0000-0000-00009D000000}"/>
    <cellStyle name="20% - Accent1 2 2 3 2 3 2 2 2" xfId="167" xr:uid="{00000000-0005-0000-0000-00009E000000}"/>
    <cellStyle name="20% - Accent1 2 2 3 2 3 2 3" xfId="168" xr:uid="{00000000-0005-0000-0000-00009F000000}"/>
    <cellStyle name="20% - Accent1 2 2 3 2 3 3" xfId="169" xr:uid="{00000000-0005-0000-0000-0000A0000000}"/>
    <cellStyle name="20% - Accent1 2 2 3 2 3 3 2" xfId="170" xr:uid="{00000000-0005-0000-0000-0000A1000000}"/>
    <cellStyle name="20% - Accent1 2 2 3 2 3 4" xfId="171" xr:uid="{00000000-0005-0000-0000-0000A2000000}"/>
    <cellStyle name="20% - Accent1 2 2 3 2 4" xfId="172" xr:uid="{00000000-0005-0000-0000-0000A3000000}"/>
    <cellStyle name="20% - Accent1 2 2 3 2 4 2" xfId="173" xr:uid="{00000000-0005-0000-0000-0000A4000000}"/>
    <cellStyle name="20% - Accent1 2 2 3 2 4 2 2" xfId="174" xr:uid="{00000000-0005-0000-0000-0000A5000000}"/>
    <cellStyle name="20% - Accent1 2 2 3 2 4 3" xfId="175" xr:uid="{00000000-0005-0000-0000-0000A6000000}"/>
    <cellStyle name="20% - Accent1 2 2 3 2 5" xfId="176" xr:uid="{00000000-0005-0000-0000-0000A7000000}"/>
    <cellStyle name="20% - Accent1 2 2 3 2 5 2" xfId="177" xr:uid="{00000000-0005-0000-0000-0000A8000000}"/>
    <cellStyle name="20% - Accent1 2 2 3 2 6" xfId="178" xr:uid="{00000000-0005-0000-0000-0000A9000000}"/>
    <cellStyle name="20% - Accent1 2 2 3 3" xfId="179" xr:uid="{00000000-0005-0000-0000-0000AA000000}"/>
    <cellStyle name="20% - Accent1 2 2 3 3 2" xfId="180" xr:uid="{00000000-0005-0000-0000-0000AB000000}"/>
    <cellStyle name="20% - Accent1 2 2 3 3 2 2" xfId="181" xr:uid="{00000000-0005-0000-0000-0000AC000000}"/>
    <cellStyle name="20% - Accent1 2 2 3 3 2 2 2" xfId="182" xr:uid="{00000000-0005-0000-0000-0000AD000000}"/>
    <cellStyle name="20% - Accent1 2 2 3 3 2 2 2 2" xfId="183" xr:uid="{00000000-0005-0000-0000-0000AE000000}"/>
    <cellStyle name="20% - Accent1 2 2 3 3 2 2 3" xfId="184" xr:uid="{00000000-0005-0000-0000-0000AF000000}"/>
    <cellStyle name="20% - Accent1 2 2 3 3 2 3" xfId="185" xr:uid="{00000000-0005-0000-0000-0000B0000000}"/>
    <cellStyle name="20% - Accent1 2 2 3 3 2 3 2" xfId="186" xr:uid="{00000000-0005-0000-0000-0000B1000000}"/>
    <cellStyle name="20% - Accent1 2 2 3 3 2 4" xfId="187" xr:uid="{00000000-0005-0000-0000-0000B2000000}"/>
    <cellStyle name="20% - Accent1 2 2 3 3 3" xfId="188" xr:uid="{00000000-0005-0000-0000-0000B3000000}"/>
    <cellStyle name="20% - Accent1 2 2 3 3 3 2" xfId="189" xr:uid="{00000000-0005-0000-0000-0000B4000000}"/>
    <cellStyle name="20% - Accent1 2 2 3 3 3 2 2" xfId="190" xr:uid="{00000000-0005-0000-0000-0000B5000000}"/>
    <cellStyle name="20% - Accent1 2 2 3 3 3 3" xfId="191" xr:uid="{00000000-0005-0000-0000-0000B6000000}"/>
    <cellStyle name="20% - Accent1 2 2 3 3 4" xfId="192" xr:uid="{00000000-0005-0000-0000-0000B7000000}"/>
    <cellStyle name="20% - Accent1 2 2 3 3 4 2" xfId="193" xr:uid="{00000000-0005-0000-0000-0000B8000000}"/>
    <cellStyle name="20% - Accent1 2 2 3 3 5" xfId="194" xr:uid="{00000000-0005-0000-0000-0000B9000000}"/>
    <cellStyle name="20% - Accent1 2 2 3 4" xfId="195" xr:uid="{00000000-0005-0000-0000-0000BA000000}"/>
    <cellStyle name="20% - Accent1 2 2 3 4 2" xfId="196" xr:uid="{00000000-0005-0000-0000-0000BB000000}"/>
    <cellStyle name="20% - Accent1 2 2 3 4 2 2" xfId="197" xr:uid="{00000000-0005-0000-0000-0000BC000000}"/>
    <cellStyle name="20% - Accent1 2 2 3 4 2 2 2" xfId="198" xr:uid="{00000000-0005-0000-0000-0000BD000000}"/>
    <cellStyle name="20% - Accent1 2 2 3 4 2 3" xfId="199" xr:uid="{00000000-0005-0000-0000-0000BE000000}"/>
    <cellStyle name="20% - Accent1 2 2 3 4 3" xfId="200" xr:uid="{00000000-0005-0000-0000-0000BF000000}"/>
    <cellStyle name="20% - Accent1 2 2 3 4 3 2" xfId="201" xr:uid="{00000000-0005-0000-0000-0000C0000000}"/>
    <cellStyle name="20% - Accent1 2 2 3 4 4" xfId="202" xr:uid="{00000000-0005-0000-0000-0000C1000000}"/>
    <cellStyle name="20% - Accent1 2 2 3 5" xfId="203" xr:uid="{00000000-0005-0000-0000-0000C2000000}"/>
    <cellStyle name="20% - Accent1 2 2 3 5 2" xfId="204" xr:uid="{00000000-0005-0000-0000-0000C3000000}"/>
    <cellStyle name="20% - Accent1 2 2 3 5 2 2" xfId="205" xr:uid="{00000000-0005-0000-0000-0000C4000000}"/>
    <cellStyle name="20% - Accent1 2 2 3 5 3" xfId="206" xr:uid="{00000000-0005-0000-0000-0000C5000000}"/>
    <cellStyle name="20% - Accent1 2 2 3 6" xfId="207" xr:uid="{00000000-0005-0000-0000-0000C6000000}"/>
    <cellStyle name="20% - Accent1 2 2 3 6 2" xfId="208" xr:uid="{00000000-0005-0000-0000-0000C7000000}"/>
    <cellStyle name="20% - Accent1 2 2 3 7" xfId="209" xr:uid="{00000000-0005-0000-0000-0000C8000000}"/>
    <cellStyle name="20% - Accent1 2 2 4" xfId="210" xr:uid="{00000000-0005-0000-0000-0000C9000000}"/>
    <cellStyle name="20% - Accent1 2 2 4 2" xfId="211" xr:uid="{00000000-0005-0000-0000-0000CA000000}"/>
    <cellStyle name="20% - Accent1 2 2 4 2 2" xfId="212" xr:uid="{00000000-0005-0000-0000-0000CB000000}"/>
    <cellStyle name="20% - Accent1 2 2 4 2 2 2" xfId="213" xr:uid="{00000000-0005-0000-0000-0000CC000000}"/>
    <cellStyle name="20% - Accent1 2 2 4 2 2 2 2" xfId="214" xr:uid="{00000000-0005-0000-0000-0000CD000000}"/>
    <cellStyle name="20% - Accent1 2 2 4 2 2 2 2 2" xfId="215" xr:uid="{00000000-0005-0000-0000-0000CE000000}"/>
    <cellStyle name="20% - Accent1 2 2 4 2 2 2 3" xfId="216" xr:uid="{00000000-0005-0000-0000-0000CF000000}"/>
    <cellStyle name="20% - Accent1 2 2 4 2 2 3" xfId="217" xr:uid="{00000000-0005-0000-0000-0000D0000000}"/>
    <cellStyle name="20% - Accent1 2 2 4 2 2 3 2" xfId="218" xr:uid="{00000000-0005-0000-0000-0000D1000000}"/>
    <cellStyle name="20% - Accent1 2 2 4 2 2 4" xfId="219" xr:uid="{00000000-0005-0000-0000-0000D2000000}"/>
    <cellStyle name="20% - Accent1 2 2 4 2 3" xfId="220" xr:uid="{00000000-0005-0000-0000-0000D3000000}"/>
    <cellStyle name="20% - Accent1 2 2 4 2 3 2" xfId="221" xr:uid="{00000000-0005-0000-0000-0000D4000000}"/>
    <cellStyle name="20% - Accent1 2 2 4 2 3 2 2" xfId="222" xr:uid="{00000000-0005-0000-0000-0000D5000000}"/>
    <cellStyle name="20% - Accent1 2 2 4 2 3 3" xfId="223" xr:uid="{00000000-0005-0000-0000-0000D6000000}"/>
    <cellStyle name="20% - Accent1 2 2 4 2 4" xfId="224" xr:uid="{00000000-0005-0000-0000-0000D7000000}"/>
    <cellStyle name="20% - Accent1 2 2 4 2 4 2" xfId="225" xr:uid="{00000000-0005-0000-0000-0000D8000000}"/>
    <cellStyle name="20% - Accent1 2 2 4 2 5" xfId="226" xr:uid="{00000000-0005-0000-0000-0000D9000000}"/>
    <cellStyle name="20% - Accent1 2 2 4 3" xfId="227" xr:uid="{00000000-0005-0000-0000-0000DA000000}"/>
    <cellStyle name="20% - Accent1 2 2 4 3 2" xfId="228" xr:uid="{00000000-0005-0000-0000-0000DB000000}"/>
    <cellStyle name="20% - Accent1 2 2 4 3 2 2" xfId="229" xr:uid="{00000000-0005-0000-0000-0000DC000000}"/>
    <cellStyle name="20% - Accent1 2 2 4 3 2 2 2" xfId="230" xr:uid="{00000000-0005-0000-0000-0000DD000000}"/>
    <cellStyle name="20% - Accent1 2 2 4 3 2 3" xfId="231" xr:uid="{00000000-0005-0000-0000-0000DE000000}"/>
    <cellStyle name="20% - Accent1 2 2 4 3 3" xfId="232" xr:uid="{00000000-0005-0000-0000-0000DF000000}"/>
    <cellStyle name="20% - Accent1 2 2 4 3 3 2" xfId="233" xr:uid="{00000000-0005-0000-0000-0000E0000000}"/>
    <cellStyle name="20% - Accent1 2 2 4 3 4" xfId="234" xr:uid="{00000000-0005-0000-0000-0000E1000000}"/>
    <cellStyle name="20% - Accent1 2 2 4 4" xfId="235" xr:uid="{00000000-0005-0000-0000-0000E2000000}"/>
    <cellStyle name="20% - Accent1 2 2 4 4 2" xfId="236" xr:uid="{00000000-0005-0000-0000-0000E3000000}"/>
    <cellStyle name="20% - Accent1 2 2 4 4 2 2" xfId="237" xr:uid="{00000000-0005-0000-0000-0000E4000000}"/>
    <cellStyle name="20% - Accent1 2 2 4 4 3" xfId="238" xr:uid="{00000000-0005-0000-0000-0000E5000000}"/>
    <cellStyle name="20% - Accent1 2 2 4 5" xfId="239" xr:uid="{00000000-0005-0000-0000-0000E6000000}"/>
    <cellStyle name="20% - Accent1 2 2 4 5 2" xfId="240" xr:uid="{00000000-0005-0000-0000-0000E7000000}"/>
    <cellStyle name="20% - Accent1 2 2 4 6" xfId="241" xr:uid="{00000000-0005-0000-0000-0000E8000000}"/>
    <cellStyle name="20% - Accent1 2 2 5" xfId="242" xr:uid="{00000000-0005-0000-0000-0000E9000000}"/>
    <cellStyle name="20% - Accent1 2 2 5 2" xfId="243" xr:uid="{00000000-0005-0000-0000-0000EA000000}"/>
    <cellStyle name="20% - Accent1 2 2 5 2 2" xfId="244" xr:uid="{00000000-0005-0000-0000-0000EB000000}"/>
    <cellStyle name="20% - Accent1 2 2 5 2 2 2" xfId="245" xr:uid="{00000000-0005-0000-0000-0000EC000000}"/>
    <cellStyle name="20% - Accent1 2 2 5 2 2 2 2" xfId="246" xr:uid="{00000000-0005-0000-0000-0000ED000000}"/>
    <cellStyle name="20% - Accent1 2 2 5 2 2 3" xfId="247" xr:uid="{00000000-0005-0000-0000-0000EE000000}"/>
    <cellStyle name="20% - Accent1 2 2 5 2 3" xfId="248" xr:uid="{00000000-0005-0000-0000-0000EF000000}"/>
    <cellStyle name="20% - Accent1 2 2 5 2 3 2" xfId="249" xr:uid="{00000000-0005-0000-0000-0000F0000000}"/>
    <cellStyle name="20% - Accent1 2 2 5 2 4" xfId="250" xr:uid="{00000000-0005-0000-0000-0000F1000000}"/>
    <cellStyle name="20% - Accent1 2 2 5 3" xfId="251" xr:uid="{00000000-0005-0000-0000-0000F2000000}"/>
    <cellStyle name="20% - Accent1 2 2 5 3 2" xfId="252" xr:uid="{00000000-0005-0000-0000-0000F3000000}"/>
    <cellStyle name="20% - Accent1 2 2 5 3 2 2" xfId="253" xr:uid="{00000000-0005-0000-0000-0000F4000000}"/>
    <cellStyle name="20% - Accent1 2 2 5 3 3" xfId="254" xr:uid="{00000000-0005-0000-0000-0000F5000000}"/>
    <cellStyle name="20% - Accent1 2 2 5 4" xfId="255" xr:uid="{00000000-0005-0000-0000-0000F6000000}"/>
    <cellStyle name="20% - Accent1 2 2 5 4 2" xfId="256" xr:uid="{00000000-0005-0000-0000-0000F7000000}"/>
    <cellStyle name="20% - Accent1 2 2 5 5" xfId="257" xr:uid="{00000000-0005-0000-0000-0000F8000000}"/>
    <cellStyle name="20% - Accent1 2 2 6" xfId="258" xr:uid="{00000000-0005-0000-0000-0000F9000000}"/>
    <cellStyle name="20% - Accent1 2 2 6 2" xfId="259" xr:uid="{00000000-0005-0000-0000-0000FA000000}"/>
    <cellStyle name="20% - Accent1 2 2 6 2 2" xfId="260" xr:uid="{00000000-0005-0000-0000-0000FB000000}"/>
    <cellStyle name="20% - Accent1 2 2 6 2 2 2" xfId="261" xr:uid="{00000000-0005-0000-0000-0000FC000000}"/>
    <cellStyle name="20% - Accent1 2 2 6 2 3" xfId="262" xr:uid="{00000000-0005-0000-0000-0000FD000000}"/>
    <cellStyle name="20% - Accent1 2 2 6 3" xfId="263" xr:uid="{00000000-0005-0000-0000-0000FE000000}"/>
    <cellStyle name="20% - Accent1 2 2 6 3 2" xfId="264" xr:uid="{00000000-0005-0000-0000-0000FF000000}"/>
    <cellStyle name="20% - Accent1 2 2 6 4" xfId="265" xr:uid="{00000000-0005-0000-0000-000000010000}"/>
    <cellStyle name="20% - Accent1 2 2 7" xfId="266" xr:uid="{00000000-0005-0000-0000-000001010000}"/>
    <cellStyle name="20% - Accent1 2 2 7 2" xfId="267" xr:uid="{00000000-0005-0000-0000-000002010000}"/>
    <cellStyle name="20% - Accent1 2 2 7 2 2" xfId="268" xr:uid="{00000000-0005-0000-0000-000003010000}"/>
    <cellStyle name="20% - Accent1 2 2 7 3" xfId="269" xr:uid="{00000000-0005-0000-0000-000004010000}"/>
    <cellStyle name="20% - Accent1 2 2 8" xfId="270" xr:uid="{00000000-0005-0000-0000-000005010000}"/>
    <cellStyle name="20% - Accent1 2 2 8 2" xfId="271" xr:uid="{00000000-0005-0000-0000-000006010000}"/>
    <cellStyle name="20% - Accent1 2 2 9" xfId="272" xr:uid="{00000000-0005-0000-0000-000007010000}"/>
    <cellStyle name="20% - Accent1 2 3" xfId="273" xr:uid="{00000000-0005-0000-0000-000008010000}"/>
    <cellStyle name="20% - Accent1 2 3 2" xfId="274" xr:uid="{00000000-0005-0000-0000-000009010000}"/>
    <cellStyle name="20% - Accent1 2 3 2 2" xfId="275" xr:uid="{00000000-0005-0000-0000-00000A010000}"/>
    <cellStyle name="20% - Accent1 2 3 2 2 2" xfId="276" xr:uid="{00000000-0005-0000-0000-00000B010000}"/>
    <cellStyle name="20% - Accent1 2 3 2 2 2 2" xfId="277" xr:uid="{00000000-0005-0000-0000-00000C010000}"/>
    <cellStyle name="20% - Accent1 2 3 2 2 2 2 2" xfId="278" xr:uid="{00000000-0005-0000-0000-00000D010000}"/>
    <cellStyle name="20% - Accent1 2 3 2 2 2 2 2 2" xfId="279" xr:uid="{00000000-0005-0000-0000-00000E010000}"/>
    <cellStyle name="20% - Accent1 2 3 2 2 2 2 2 2 2" xfId="280" xr:uid="{00000000-0005-0000-0000-00000F010000}"/>
    <cellStyle name="20% - Accent1 2 3 2 2 2 2 2 3" xfId="281" xr:uid="{00000000-0005-0000-0000-000010010000}"/>
    <cellStyle name="20% - Accent1 2 3 2 2 2 2 3" xfId="282" xr:uid="{00000000-0005-0000-0000-000011010000}"/>
    <cellStyle name="20% - Accent1 2 3 2 2 2 2 3 2" xfId="283" xr:uid="{00000000-0005-0000-0000-000012010000}"/>
    <cellStyle name="20% - Accent1 2 3 2 2 2 2 4" xfId="284" xr:uid="{00000000-0005-0000-0000-000013010000}"/>
    <cellStyle name="20% - Accent1 2 3 2 2 2 3" xfId="285" xr:uid="{00000000-0005-0000-0000-000014010000}"/>
    <cellStyle name="20% - Accent1 2 3 2 2 2 3 2" xfId="286" xr:uid="{00000000-0005-0000-0000-000015010000}"/>
    <cellStyle name="20% - Accent1 2 3 2 2 2 3 2 2" xfId="287" xr:uid="{00000000-0005-0000-0000-000016010000}"/>
    <cellStyle name="20% - Accent1 2 3 2 2 2 3 3" xfId="288" xr:uid="{00000000-0005-0000-0000-000017010000}"/>
    <cellStyle name="20% - Accent1 2 3 2 2 2 4" xfId="289" xr:uid="{00000000-0005-0000-0000-000018010000}"/>
    <cellStyle name="20% - Accent1 2 3 2 2 2 4 2" xfId="290" xr:uid="{00000000-0005-0000-0000-000019010000}"/>
    <cellStyle name="20% - Accent1 2 3 2 2 2 5" xfId="291" xr:uid="{00000000-0005-0000-0000-00001A010000}"/>
    <cellStyle name="20% - Accent1 2 3 2 2 3" xfId="292" xr:uid="{00000000-0005-0000-0000-00001B010000}"/>
    <cellStyle name="20% - Accent1 2 3 2 2 3 2" xfId="293" xr:uid="{00000000-0005-0000-0000-00001C010000}"/>
    <cellStyle name="20% - Accent1 2 3 2 2 3 2 2" xfId="294" xr:uid="{00000000-0005-0000-0000-00001D010000}"/>
    <cellStyle name="20% - Accent1 2 3 2 2 3 2 2 2" xfId="295" xr:uid="{00000000-0005-0000-0000-00001E010000}"/>
    <cellStyle name="20% - Accent1 2 3 2 2 3 2 3" xfId="296" xr:uid="{00000000-0005-0000-0000-00001F010000}"/>
    <cellStyle name="20% - Accent1 2 3 2 2 3 3" xfId="297" xr:uid="{00000000-0005-0000-0000-000020010000}"/>
    <cellStyle name="20% - Accent1 2 3 2 2 3 3 2" xfId="298" xr:uid="{00000000-0005-0000-0000-000021010000}"/>
    <cellStyle name="20% - Accent1 2 3 2 2 3 4" xfId="299" xr:uid="{00000000-0005-0000-0000-000022010000}"/>
    <cellStyle name="20% - Accent1 2 3 2 2 4" xfId="300" xr:uid="{00000000-0005-0000-0000-000023010000}"/>
    <cellStyle name="20% - Accent1 2 3 2 2 4 2" xfId="301" xr:uid="{00000000-0005-0000-0000-000024010000}"/>
    <cellStyle name="20% - Accent1 2 3 2 2 4 2 2" xfId="302" xr:uid="{00000000-0005-0000-0000-000025010000}"/>
    <cellStyle name="20% - Accent1 2 3 2 2 4 3" xfId="303" xr:uid="{00000000-0005-0000-0000-000026010000}"/>
    <cellStyle name="20% - Accent1 2 3 2 2 5" xfId="304" xr:uid="{00000000-0005-0000-0000-000027010000}"/>
    <cellStyle name="20% - Accent1 2 3 2 2 5 2" xfId="305" xr:uid="{00000000-0005-0000-0000-000028010000}"/>
    <cellStyle name="20% - Accent1 2 3 2 2 6" xfId="306" xr:uid="{00000000-0005-0000-0000-000029010000}"/>
    <cellStyle name="20% - Accent1 2 3 2 3" xfId="307" xr:uid="{00000000-0005-0000-0000-00002A010000}"/>
    <cellStyle name="20% - Accent1 2 3 2 3 2" xfId="308" xr:uid="{00000000-0005-0000-0000-00002B010000}"/>
    <cellStyle name="20% - Accent1 2 3 2 3 2 2" xfId="309" xr:uid="{00000000-0005-0000-0000-00002C010000}"/>
    <cellStyle name="20% - Accent1 2 3 2 3 2 2 2" xfId="310" xr:uid="{00000000-0005-0000-0000-00002D010000}"/>
    <cellStyle name="20% - Accent1 2 3 2 3 2 2 2 2" xfId="311" xr:uid="{00000000-0005-0000-0000-00002E010000}"/>
    <cellStyle name="20% - Accent1 2 3 2 3 2 2 3" xfId="312" xr:uid="{00000000-0005-0000-0000-00002F010000}"/>
    <cellStyle name="20% - Accent1 2 3 2 3 2 3" xfId="313" xr:uid="{00000000-0005-0000-0000-000030010000}"/>
    <cellStyle name="20% - Accent1 2 3 2 3 2 3 2" xfId="314" xr:uid="{00000000-0005-0000-0000-000031010000}"/>
    <cellStyle name="20% - Accent1 2 3 2 3 2 4" xfId="315" xr:uid="{00000000-0005-0000-0000-000032010000}"/>
    <cellStyle name="20% - Accent1 2 3 2 3 3" xfId="316" xr:uid="{00000000-0005-0000-0000-000033010000}"/>
    <cellStyle name="20% - Accent1 2 3 2 3 3 2" xfId="317" xr:uid="{00000000-0005-0000-0000-000034010000}"/>
    <cellStyle name="20% - Accent1 2 3 2 3 3 2 2" xfId="318" xr:uid="{00000000-0005-0000-0000-000035010000}"/>
    <cellStyle name="20% - Accent1 2 3 2 3 3 3" xfId="319" xr:uid="{00000000-0005-0000-0000-000036010000}"/>
    <cellStyle name="20% - Accent1 2 3 2 3 4" xfId="320" xr:uid="{00000000-0005-0000-0000-000037010000}"/>
    <cellStyle name="20% - Accent1 2 3 2 3 4 2" xfId="321" xr:uid="{00000000-0005-0000-0000-000038010000}"/>
    <cellStyle name="20% - Accent1 2 3 2 3 5" xfId="322" xr:uid="{00000000-0005-0000-0000-000039010000}"/>
    <cellStyle name="20% - Accent1 2 3 2 4" xfId="323" xr:uid="{00000000-0005-0000-0000-00003A010000}"/>
    <cellStyle name="20% - Accent1 2 3 2 4 2" xfId="324" xr:uid="{00000000-0005-0000-0000-00003B010000}"/>
    <cellStyle name="20% - Accent1 2 3 2 4 2 2" xfId="325" xr:uid="{00000000-0005-0000-0000-00003C010000}"/>
    <cellStyle name="20% - Accent1 2 3 2 4 2 2 2" xfId="326" xr:uid="{00000000-0005-0000-0000-00003D010000}"/>
    <cellStyle name="20% - Accent1 2 3 2 4 2 3" xfId="327" xr:uid="{00000000-0005-0000-0000-00003E010000}"/>
    <cellStyle name="20% - Accent1 2 3 2 4 3" xfId="328" xr:uid="{00000000-0005-0000-0000-00003F010000}"/>
    <cellStyle name="20% - Accent1 2 3 2 4 3 2" xfId="329" xr:uid="{00000000-0005-0000-0000-000040010000}"/>
    <cellStyle name="20% - Accent1 2 3 2 4 4" xfId="330" xr:uid="{00000000-0005-0000-0000-000041010000}"/>
    <cellStyle name="20% - Accent1 2 3 2 5" xfId="331" xr:uid="{00000000-0005-0000-0000-000042010000}"/>
    <cellStyle name="20% - Accent1 2 3 2 5 2" xfId="332" xr:uid="{00000000-0005-0000-0000-000043010000}"/>
    <cellStyle name="20% - Accent1 2 3 2 5 2 2" xfId="333" xr:uid="{00000000-0005-0000-0000-000044010000}"/>
    <cellStyle name="20% - Accent1 2 3 2 5 3" xfId="334" xr:uid="{00000000-0005-0000-0000-000045010000}"/>
    <cellStyle name="20% - Accent1 2 3 2 6" xfId="335" xr:uid="{00000000-0005-0000-0000-000046010000}"/>
    <cellStyle name="20% - Accent1 2 3 2 6 2" xfId="336" xr:uid="{00000000-0005-0000-0000-000047010000}"/>
    <cellStyle name="20% - Accent1 2 3 2 7" xfId="337" xr:uid="{00000000-0005-0000-0000-000048010000}"/>
    <cellStyle name="20% - Accent1 2 3 3" xfId="338" xr:uid="{00000000-0005-0000-0000-000049010000}"/>
    <cellStyle name="20% - Accent1 2 3 3 2" xfId="339" xr:uid="{00000000-0005-0000-0000-00004A010000}"/>
    <cellStyle name="20% - Accent1 2 3 3 2 2" xfId="340" xr:uid="{00000000-0005-0000-0000-00004B010000}"/>
    <cellStyle name="20% - Accent1 2 3 3 2 2 2" xfId="341" xr:uid="{00000000-0005-0000-0000-00004C010000}"/>
    <cellStyle name="20% - Accent1 2 3 3 2 2 2 2" xfId="342" xr:uid="{00000000-0005-0000-0000-00004D010000}"/>
    <cellStyle name="20% - Accent1 2 3 3 2 2 2 2 2" xfId="343" xr:uid="{00000000-0005-0000-0000-00004E010000}"/>
    <cellStyle name="20% - Accent1 2 3 3 2 2 2 3" xfId="344" xr:uid="{00000000-0005-0000-0000-00004F010000}"/>
    <cellStyle name="20% - Accent1 2 3 3 2 2 3" xfId="345" xr:uid="{00000000-0005-0000-0000-000050010000}"/>
    <cellStyle name="20% - Accent1 2 3 3 2 2 3 2" xfId="346" xr:uid="{00000000-0005-0000-0000-000051010000}"/>
    <cellStyle name="20% - Accent1 2 3 3 2 2 4" xfId="347" xr:uid="{00000000-0005-0000-0000-000052010000}"/>
    <cellStyle name="20% - Accent1 2 3 3 2 3" xfId="348" xr:uid="{00000000-0005-0000-0000-000053010000}"/>
    <cellStyle name="20% - Accent1 2 3 3 2 3 2" xfId="349" xr:uid="{00000000-0005-0000-0000-000054010000}"/>
    <cellStyle name="20% - Accent1 2 3 3 2 3 2 2" xfId="350" xr:uid="{00000000-0005-0000-0000-000055010000}"/>
    <cellStyle name="20% - Accent1 2 3 3 2 3 3" xfId="351" xr:uid="{00000000-0005-0000-0000-000056010000}"/>
    <cellStyle name="20% - Accent1 2 3 3 2 4" xfId="352" xr:uid="{00000000-0005-0000-0000-000057010000}"/>
    <cellStyle name="20% - Accent1 2 3 3 2 4 2" xfId="353" xr:uid="{00000000-0005-0000-0000-000058010000}"/>
    <cellStyle name="20% - Accent1 2 3 3 2 5" xfId="354" xr:uid="{00000000-0005-0000-0000-000059010000}"/>
    <cellStyle name="20% - Accent1 2 3 3 3" xfId="355" xr:uid="{00000000-0005-0000-0000-00005A010000}"/>
    <cellStyle name="20% - Accent1 2 3 3 3 2" xfId="356" xr:uid="{00000000-0005-0000-0000-00005B010000}"/>
    <cellStyle name="20% - Accent1 2 3 3 3 2 2" xfId="357" xr:uid="{00000000-0005-0000-0000-00005C010000}"/>
    <cellStyle name="20% - Accent1 2 3 3 3 2 2 2" xfId="358" xr:uid="{00000000-0005-0000-0000-00005D010000}"/>
    <cellStyle name="20% - Accent1 2 3 3 3 2 3" xfId="359" xr:uid="{00000000-0005-0000-0000-00005E010000}"/>
    <cellStyle name="20% - Accent1 2 3 3 3 3" xfId="360" xr:uid="{00000000-0005-0000-0000-00005F010000}"/>
    <cellStyle name="20% - Accent1 2 3 3 3 3 2" xfId="361" xr:uid="{00000000-0005-0000-0000-000060010000}"/>
    <cellStyle name="20% - Accent1 2 3 3 3 4" xfId="362" xr:uid="{00000000-0005-0000-0000-000061010000}"/>
    <cellStyle name="20% - Accent1 2 3 3 4" xfId="363" xr:uid="{00000000-0005-0000-0000-000062010000}"/>
    <cellStyle name="20% - Accent1 2 3 3 4 2" xfId="364" xr:uid="{00000000-0005-0000-0000-000063010000}"/>
    <cellStyle name="20% - Accent1 2 3 3 4 2 2" xfId="365" xr:uid="{00000000-0005-0000-0000-000064010000}"/>
    <cellStyle name="20% - Accent1 2 3 3 4 3" xfId="366" xr:uid="{00000000-0005-0000-0000-000065010000}"/>
    <cellStyle name="20% - Accent1 2 3 3 5" xfId="367" xr:uid="{00000000-0005-0000-0000-000066010000}"/>
    <cellStyle name="20% - Accent1 2 3 3 5 2" xfId="368" xr:uid="{00000000-0005-0000-0000-000067010000}"/>
    <cellStyle name="20% - Accent1 2 3 3 6" xfId="369" xr:uid="{00000000-0005-0000-0000-000068010000}"/>
    <cellStyle name="20% - Accent1 2 3 4" xfId="370" xr:uid="{00000000-0005-0000-0000-000069010000}"/>
    <cellStyle name="20% - Accent1 2 3 4 2" xfId="371" xr:uid="{00000000-0005-0000-0000-00006A010000}"/>
    <cellStyle name="20% - Accent1 2 3 4 2 2" xfId="372" xr:uid="{00000000-0005-0000-0000-00006B010000}"/>
    <cellStyle name="20% - Accent1 2 3 4 2 2 2" xfId="373" xr:uid="{00000000-0005-0000-0000-00006C010000}"/>
    <cellStyle name="20% - Accent1 2 3 4 2 2 2 2" xfId="374" xr:uid="{00000000-0005-0000-0000-00006D010000}"/>
    <cellStyle name="20% - Accent1 2 3 4 2 2 3" xfId="375" xr:uid="{00000000-0005-0000-0000-00006E010000}"/>
    <cellStyle name="20% - Accent1 2 3 4 2 3" xfId="376" xr:uid="{00000000-0005-0000-0000-00006F010000}"/>
    <cellStyle name="20% - Accent1 2 3 4 2 3 2" xfId="377" xr:uid="{00000000-0005-0000-0000-000070010000}"/>
    <cellStyle name="20% - Accent1 2 3 4 2 4" xfId="378" xr:uid="{00000000-0005-0000-0000-000071010000}"/>
    <cellStyle name="20% - Accent1 2 3 4 3" xfId="379" xr:uid="{00000000-0005-0000-0000-000072010000}"/>
    <cellStyle name="20% - Accent1 2 3 4 3 2" xfId="380" xr:uid="{00000000-0005-0000-0000-000073010000}"/>
    <cellStyle name="20% - Accent1 2 3 4 3 2 2" xfId="381" xr:uid="{00000000-0005-0000-0000-000074010000}"/>
    <cellStyle name="20% - Accent1 2 3 4 3 3" xfId="382" xr:uid="{00000000-0005-0000-0000-000075010000}"/>
    <cellStyle name="20% - Accent1 2 3 4 4" xfId="383" xr:uid="{00000000-0005-0000-0000-000076010000}"/>
    <cellStyle name="20% - Accent1 2 3 4 4 2" xfId="384" xr:uid="{00000000-0005-0000-0000-000077010000}"/>
    <cellStyle name="20% - Accent1 2 3 4 5" xfId="385" xr:uid="{00000000-0005-0000-0000-000078010000}"/>
    <cellStyle name="20% - Accent1 2 3 5" xfId="386" xr:uid="{00000000-0005-0000-0000-000079010000}"/>
    <cellStyle name="20% - Accent1 2 3 5 2" xfId="387" xr:uid="{00000000-0005-0000-0000-00007A010000}"/>
    <cellStyle name="20% - Accent1 2 3 5 2 2" xfId="388" xr:uid="{00000000-0005-0000-0000-00007B010000}"/>
    <cellStyle name="20% - Accent1 2 3 5 2 2 2" xfId="389" xr:uid="{00000000-0005-0000-0000-00007C010000}"/>
    <cellStyle name="20% - Accent1 2 3 5 2 3" xfId="390" xr:uid="{00000000-0005-0000-0000-00007D010000}"/>
    <cellStyle name="20% - Accent1 2 3 5 3" xfId="391" xr:uid="{00000000-0005-0000-0000-00007E010000}"/>
    <cellStyle name="20% - Accent1 2 3 5 3 2" xfId="392" xr:uid="{00000000-0005-0000-0000-00007F010000}"/>
    <cellStyle name="20% - Accent1 2 3 5 4" xfId="393" xr:uid="{00000000-0005-0000-0000-000080010000}"/>
    <cellStyle name="20% - Accent1 2 3 6" xfId="394" xr:uid="{00000000-0005-0000-0000-000081010000}"/>
    <cellStyle name="20% - Accent1 2 3 6 2" xfId="395" xr:uid="{00000000-0005-0000-0000-000082010000}"/>
    <cellStyle name="20% - Accent1 2 3 6 2 2" xfId="396" xr:uid="{00000000-0005-0000-0000-000083010000}"/>
    <cellStyle name="20% - Accent1 2 3 6 3" xfId="397" xr:uid="{00000000-0005-0000-0000-000084010000}"/>
    <cellStyle name="20% - Accent1 2 3 7" xfId="398" xr:uid="{00000000-0005-0000-0000-000085010000}"/>
    <cellStyle name="20% - Accent1 2 3 7 2" xfId="399" xr:uid="{00000000-0005-0000-0000-000086010000}"/>
    <cellStyle name="20% - Accent1 2 3 8" xfId="400" xr:uid="{00000000-0005-0000-0000-000087010000}"/>
    <cellStyle name="20% - Accent1 2 4" xfId="401" xr:uid="{00000000-0005-0000-0000-000088010000}"/>
    <cellStyle name="20% - Accent1 2 4 2" xfId="402" xr:uid="{00000000-0005-0000-0000-000089010000}"/>
    <cellStyle name="20% - Accent1 2 4 2 2" xfId="403" xr:uid="{00000000-0005-0000-0000-00008A010000}"/>
    <cellStyle name="20% - Accent1 2 4 2 2 2" xfId="404" xr:uid="{00000000-0005-0000-0000-00008B010000}"/>
    <cellStyle name="20% - Accent1 2 4 2 2 2 2" xfId="405" xr:uid="{00000000-0005-0000-0000-00008C010000}"/>
    <cellStyle name="20% - Accent1 2 4 2 2 2 2 2" xfId="406" xr:uid="{00000000-0005-0000-0000-00008D010000}"/>
    <cellStyle name="20% - Accent1 2 4 2 2 2 2 2 2" xfId="407" xr:uid="{00000000-0005-0000-0000-00008E010000}"/>
    <cellStyle name="20% - Accent1 2 4 2 2 2 2 3" xfId="408" xr:uid="{00000000-0005-0000-0000-00008F010000}"/>
    <cellStyle name="20% - Accent1 2 4 2 2 2 3" xfId="409" xr:uid="{00000000-0005-0000-0000-000090010000}"/>
    <cellStyle name="20% - Accent1 2 4 2 2 2 3 2" xfId="410" xr:uid="{00000000-0005-0000-0000-000091010000}"/>
    <cellStyle name="20% - Accent1 2 4 2 2 2 4" xfId="411" xr:uid="{00000000-0005-0000-0000-000092010000}"/>
    <cellStyle name="20% - Accent1 2 4 2 2 3" xfId="412" xr:uid="{00000000-0005-0000-0000-000093010000}"/>
    <cellStyle name="20% - Accent1 2 4 2 2 3 2" xfId="413" xr:uid="{00000000-0005-0000-0000-000094010000}"/>
    <cellStyle name="20% - Accent1 2 4 2 2 3 2 2" xfId="414" xr:uid="{00000000-0005-0000-0000-000095010000}"/>
    <cellStyle name="20% - Accent1 2 4 2 2 3 3" xfId="415" xr:uid="{00000000-0005-0000-0000-000096010000}"/>
    <cellStyle name="20% - Accent1 2 4 2 2 4" xfId="416" xr:uid="{00000000-0005-0000-0000-000097010000}"/>
    <cellStyle name="20% - Accent1 2 4 2 2 4 2" xfId="417" xr:uid="{00000000-0005-0000-0000-000098010000}"/>
    <cellStyle name="20% - Accent1 2 4 2 2 5" xfId="418" xr:uid="{00000000-0005-0000-0000-000099010000}"/>
    <cellStyle name="20% - Accent1 2 4 2 3" xfId="419" xr:uid="{00000000-0005-0000-0000-00009A010000}"/>
    <cellStyle name="20% - Accent1 2 4 2 3 2" xfId="420" xr:uid="{00000000-0005-0000-0000-00009B010000}"/>
    <cellStyle name="20% - Accent1 2 4 2 3 2 2" xfId="421" xr:uid="{00000000-0005-0000-0000-00009C010000}"/>
    <cellStyle name="20% - Accent1 2 4 2 3 2 2 2" xfId="422" xr:uid="{00000000-0005-0000-0000-00009D010000}"/>
    <cellStyle name="20% - Accent1 2 4 2 3 2 3" xfId="423" xr:uid="{00000000-0005-0000-0000-00009E010000}"/>
    <cellStyle name="20% - Accent1 2 4 2 3 3" xfId="424" xr:uid="{00000000-0005-0000-0000-00009F010000}"/>
    <cellStyle name="20% - Accent1 2 4 2 3 3 2" xfId="425" xr:uid="{00000000-0005-0000-0000-0000A0010000}"/>
    <cellStyle name="20% - Accent1 2 4 2 3 4" xfId="426" xr:uid="{00000000-0005-0000-0000-0000A1010000}"/>
    <cellStyle name="20% - Accent1 2 4 2 4" xfId="427" xr:uid="{00000000-0005-0000-0000-0000A2010000}"/>
    <cellStyle name="20% - Accent1 2 4 2 4 2" xfId="428" xr:uid="{00000000-0005-0000-0000-0000A3010000}"/>
    <cellStyle name="20% - Accent1 2 4 2 4 2 2" xfId="429" xr:uid="{00000000-0005-0000-0000-0000A4010000}"/>
    <cellStyle name="20% - Accent1 2 4 2 4 3" xfId="430" xr:uid="{00000000-0005-0000-0000-0000A5010000}"/>
    <cellStyle name="20% - Accent1 2 4 2 5" xfId="431" xr:uid="{00000000-0005-0000-0000-0000A6010000}"/>
    <cellStyle name="20% - Accent1 2 4 2 5 2" xfId="432" xr:uid="{00000000-0005-0000-0000-0000A7010000}"/>
    <cellStyle name="20% - Accent1 2 4 2 6" xfId="433" xr:uid="{00000000-0005-0000-0000-0000A8010000}"/>
    <cellStyle name="20% - Accent1 2 4 3" xfId="434" xr:uid="{00000000-0005-0000-0000-0000A9010000}"/>
    <cellStyle name="20% - Accent1 2 4 3 2" xfId="435" xr:uid="{00000000-0005-0000-0000-0000AA010000}"/>
    <cellStyle name="20% - Accent1 2 4 3 2 2" xfId="436" xr:uid="{00000000-0005-0000-0000-0000AB010000}"/>
    <cellStyle name="20% - Accent1 2 4 3 2 2 2" xfId="437" xr:uid="{00000000-0005-0000-0000-0000AC010000}"/>
    <cellStyle name="20% - Accent1 2 4 3 2 2 2 2" xfId="438" xr:uid="{00000000-0005-0000-0000-0000AD010000}"/>
    <cellStyle name="20% - Accent1 2 4 3 2 2 3" xfId="439" xr:uid="{00000000-0005-0000-0000-0000AE010000}"/>
    <cellStyle name="20% - Accent1 2 4 3 2 3" xfId="440" xr:uid="{00000000-0005-0000-0000-0000AF010000}"/>
    <cellStyle name="20% - Accent1 2 4 3 2 3 2" xfId="441" xr:uid="{00000000-0005-0000-0000-0000B0010000}"/>
    <cellStyle name="20% - Accent1 2 4 3 2 4" xfId="442" xr:uid="{00000000-0005-0000-0000-0000B1010000}"/>
    <cellStyle name="20% - Accent1 2 4 3 3" xfId="443" xr:uid="{00000000-0005-0000-0000-0000B2010000}"/>
    <cellStyle name="20% - Accent1 2 4 3 3 2" xfId="444" xr:uid="{00000000-0005-0000-0000-0000B3010000}"/>
    <cellStyle name="20% - Accent1 2 4 3 3 2 2" xfId="445" xr:uid="{00000000-0005-0000-0000-0000B4010000}"/>
    <cellStyle name="20% - Accent1 2 4 3 3 3" xfId="446" xr:uid="{00000000-0005-0000-0000-0000B5010000}"/>
    <cellStyle name="20% - Accent1 2 4 3 4" xfId="447" xr:uid="{00000000-0005-0000-0000-0000B6010000}"/>
    <cellStyle name="20% - Accent1 2 4 3 4 2" xfId="448" xr:uid="{00000000-0005-0000-0000-0000B7010000}"/>
    <cellStyle name="20% - Accent1 2 4 3 5" xfId="449" xr:uid="{00000000-0005-0000-0000-0000B8010000}"/>
    <cellStyle name="20% - Accent1 2 4 4" xfId="450" xr:uid="{00000000-0005-0000-0000-0000B9010000}"/>
    <cellStyle name="20% - Accent1 2 4 4 2" xfId="451" xr:uid="{00000000-0005-0000-0000-0000BA010000}"/>
    <cellStyle name="20% - Accent1 2 4 4 2 2" xfId="452" xr:uid="{00000000-0005-0000-0000-0000BB010000}"/>
    <cellStyle name="20% - Accent1 2 4 4 2 2 2" xfId="453" xr:uid="{00000000-0005-0000-0000-0000BC010000}"/>
    <cellStyle name="20% - Accent1 2 4 4 2 3" xfId="454" xr:uid="{00000000-0005-0000-0000-0000BD010000}"/>
    <cellStyle name="20% - Accent1 2 4 4 3" xfId="455" xr:uid="{00000000-0005-0000-0000-0000BE010000}"/>
    <cellStyle name="20% - Accent1 2 4 4 3 2" xfId="456" xr:uid="{00000000-0005-0000-0000-0000BF010000}"/>
    <cellStyle name="20% - Accent1 2 4 4 4" xfId="457" xr:uid="{00000000-0005-0000-0000-0000C0010000}"/>
    <cellStyle name="20% - Accent1 2 4 5" xfId="458" xr:uid="{00000000-0005-0000-0000-0000C1010000}"/>
    <cellStyle name="20% - Accent1 2 4 5 2" xfId="459" xr:uid="{00000000-0005-0000-0000-0000C2010000}"/>
    <cellStyle name="20% - Accent1 2 4 5 2 2" xfId="460" xr:uid="{00000000-0005-0000-0000-0000C3010000}"/>
    <cellStyle name="20% - Accent1 2 4 5 3" xfId="461" xr:uid="{00000000-0005-0000-0000-0000C4010000}"/>
    <cellStyle name="20% - Accent1 2 4 6" xfId="462" xr:uid="{00000000-0005-0000-0000-0000C5010000}"/>
    <cellStyle name="20% - Accent1 2 4 6 2" xfId="463" xr:uid="{00000000-0005-0000-0000-0000C6010000}"/>
    <cellStyle name="20% - Accent1 2 4 7" xfId="464" xr:uid="{00000000-0005-0000-0000-0000C7010000}"/>
    <cellStyle name="20% - Accent1 2 5" xfId="465" xr:uid="{00000000-0005-0000-0000-0000C8010000}"/>
    <cellStyle name="20% - Accent1 2 5 2" xfId="466" xr:uid="{00000000-0005-0000-0000-0000C9010000}"/>
    <cellStyle name="20% - Accent1 2 5 2 2" xfId="467" xr:uid="{00000000-0005-0000-0000-0000CA010000}"/>
    <cellStyle name="20% - Accent1 2 5 2 2 2" xfId="468" xr:uid="{00000000-0005-0000-0000-0000CB010000}"/>
    <cellStyle name="20% - Accent1 2 5 2 2 2 2" xfId="469" xr:uid="{00000000-0005-0000-0000-0000CC010000}"/>
    <cellStyle name="20% - Accent1 2 5 2 2 2 2 2" xfId="470" xr:uid="{00000000-0005-0000-0000-0000CD010000}"/>
    <cellStyle name="20% - Accent1 2 5 2 2 2 3" xfId="471" xr:uid="{00000000-0005-0000-0000-0000CE010000}"/>
    <cellStyle name="20% - Accent1 2 5 2 2 3" xfId="472" xr:uid="{00000000-0005-0000-0000-0000CF010000}"/>
    <cellStyle name="20% - Accent1 2 5 2 2 3 2" xfId="473" xr:uid="{00000000-0005-0000-0000-0000D0010000}"/>
    <cellStyle name="20% - Accent1 2 5 2 2 4" xfId="474" xr:uid="{00000000-0005-0000-0000-0000D1010000}"/>
    <cellStyle name="20% - Accent1 2 5 2 3" xfId="475" xr:uid="{00000000-0005-0000-0000-0000D2010000}"/>
    <cellStyle name="20% - Accent1 2 5 2 3 2" xfId="476" xr:uid="{00000000-0005-0000-0000-0000D3010000}"/>
    <cellStyle name="20% - Accent1 2 5 2 3 2 2" xfId="477" xr:uid="{00000000-0005-0000-0000-0000D4010000}"/>
    <cellStyle name="20% - Accent1 2 5 2 3 3" xfId="478" xr:uid="{00000000-0005-0000-0000-0000D5010000}"/>
    <cellStyle name="20% - Accent1 2 5 2 4" xfId="479" xr:uid="{00000000-0005-0000-0000-0000D6010000}"/>
    <cellStyle name="20% - Accent1 2 5 2 4 2" xfId="480" xr:uid="{00000000-0005-0000-0000-0000D7010000}"/>
    <cellStyle name="20% - Accent1 2 5 2 5" xfId="481" xr:uid="{00000000-0005-0000-0000-0000D8010000}"/>
    <cellStyle name="20% - Accent1 2 5 3" xfId="482" xr:uid="{00000000-0005-0000-0000-0000D9010000}"/>
    <cellStyle name="20% - Accent1 2 5 3 2" xfId="483" xr:uid="{00000000-0005-0000-0000-0000DA010000}"/>
    <cellStyle name="20% - Accent1 2 5 3 2 2" xfId="484" xr:uid="{00000000-0005-0000-0000-0000DB010000}"/>
    <cellStyle name="20% - Accent1 2 5 3 2 2 2" xfId="485" xr:uid="{00000000-0005-0000-0000-0000DC010000}"/>
    <cellStyle name="20% - Accent1 2 5 3 2 3" xfId="486" xr:uid="{00000000-0005-0000-0000-0000DD010000}"/>
    <cellStyle name="20% - Accent1 2 5 3 3" xfId="487" xr:uid="{00000000-0005-0000-0000-0000DE010000}"/>
    <cellStyle name="20% - Accent1 2 5 3 3 2" xfId="488" xr:uid="{00000000-0005-0000-0000-0000DF010000}"/>
    <cellStyle name="20% - Accent1 2 5 3 4" xfId="489" xr:uid="{00000000-0005-0000-0000-0000E0010000}"/>
    <cellStyle name="20% - Accent1 2 5 4" xfId="490" xr:uid="{00000000-0005-0000-0000-0000E1010000}"/>
    <cellStyle name="20% - Accent1 2 5 4 2" xfId="491" xr:uid="{00000000-0005-0000-0000-0000E2010000}"/>
    <cellStyle name="20% - Accent1 2 5 4 2 2" xfId="492" xr:uid="{00000000-0005-0000-0000-0000E3010000}"/>
    <cellStyle name="20% - Accent1 2 5 4 3" xfId="493" xr:uid="{00000000-0005-0000-0000-0000E4010000}"/>
    <cellStyle name="20% - Accent1 2 5 5" xfId="494" xr:uid="{00000000-0005-0000-0000-0000E5010000}"/>
    <cellStyle name="20% - Accent1 2 5 5 2" xfId="495" xr:uid="{00000000-0005-0000-0000-0000E6010000}"/>
    <cellStyle name="20% - Accent1 2 5 6" xfId="496" xr:uid="{00000000-0005-0000-0000-0000E7010000}"/>
    <cellStyle name="20% - Accent1 2 6" xfId="497" xr:uid="{00000000-0005-0000-0000-0000E8010000}"/>
    <cellStyle name="20% - Accent1 2 6 2" xfId="498" xr:uid="{00000000-0005-0000-0000-0000E9010000}"/>
    <cellStyle name="20% - Accent1 2 6 2 2" xfId="499" xr:uid="{00000000-0005-0000-0000-0000EA010000}"/>
    <cellStyle name="20% - Accent1 2 6 2 2 2" xfId="500" xr:uid="{00000000-0005-0000-0000-0000EB010000}"/>
    <cellStyle name="20% - Accent1 2 6 2 2 2 2" xfId="501" xr:uid="{00000000-0005-0000-0000-0000EC010000}"/>
    <cellStyle name="20% - Accent1 2 6 2 2 3" xfId="502" xr:uid="{00000000-0005-0000-0000-0000ED010000}"/>
    <cellStyle name="20% - Accent1 2 6 2 3" xfId="503" xr:uid="{00000000-0005-0000-0000-0000EE010000}"/>
    <cellStyle name="20% - Accent1 2 6 2 3 2" xfId="504" xr:uid="{00000000-0005-0000-0000-0000EF010000}"/>
    <cellStyle name="20% - Accent1 2 6 2 4" xfId="505" xr:uid="{00000000-0005-0000-0000-0000F0010000}"/>
    <cellStyle name="20% - Accent1 2 6 3" xfId="506" xr:uid="{00000000-0005-0000-0000-0000F1010000}"/>
    <cellStyle name="20% - Accent1 2 6 3 2" xfId="507" xr:uid="{00000000-0005-0000-0000-0000F2010000}"/>
    <cellStyle name="20% - Accent1 2 6 3 2 2" xfId="508" xr:uid="{00000000-0005-0000-0000-0000F3010000}"/>
    <cellStyle name="20% - Accent1 2 6 3 3" xfId="509" xr:uid="{00000000-0005-0000-0000-0000F4010000}"/>
    <cellStyle name="20% - Accent1 2 6 4" xfId="510" xr:uid="{00000000-0005-0000-0000-0000F5010000}"/>
    <cellStyle name="20% - Accent1 2 6 4 2" xfId="511" xr:uid="{00000000-0005-0000-0000-0000F6010000}"/>
    <cellStyle name="20% - Accent1 2 6 5" xfId="512" xr:uid="{00000000-0005-0000-0000-0000F7010000}"/>
    <cellStyle name="20% - Accent1 2 7" xfId="513" xr:uid="{00000000-0005-0000-0000-0000F8010000}"/>
    <cellStyle name="20% - Accent1 2 7 2" xfId="514" xr:uid="{00000000-0005-0000-0000-0000F9010000}"/>
    <cellStyle name="20% - Accent1 2 7 2 2" xfId="515" xr:uid="{00000000-0005-0000-0000-0000FA010000}"/>
    <cellStyle name="20% - Accent1 2 7 2 2 2" xfId="516" xr:uid="{00000000-0005-0000-0000-0000FB010000}"/>
    <cellStyle name="20% - Accent1 2 7 2 3" xfId="517" xr:uid="{00000000-0005-0000-0000-0000FC010000}"/>
    <cellStyle name="20% - Accent1 2 7 3" xfId="518" xr:uid="{00000000-0005-0000-0000-0000FD010000}"/>
    <cellStyle name="20% - Accent1 2 7 3 2" xfId="519" xr:uid="{00000000-0005-0000-0000-0000FE010000}"/>
    <cellStyle name="20% - Accent1 2 7 4" xfId="520" xr:uid="{00000000-0005-0000-0000-0000FF010000}"/>
    <cellStyle name="20% - Accent1 2 8" xfId="521" xr:uid="{00000000-0005-0000-0000-000000020000}"/>
    <cellStyle name="20% - Accent1 2 8 2" xfId="522" xr:uid="{00000000-0005-0000-0000-000001020000}"/>
    <cellStyle name="20% - Accent1 2 8 2 2" xfId="523" xr:uid="{00000000-0005-0000-0000-000002020000}"/>
    <cellStyle name="20% - Accent1 2 8 3" xfId="524" xr:uid="{00000000-0005-0000-0000-000003020000}"/>
    <cellStyle name="20% - Accent1 2 9" xfId="525" xr:uid="{00000000-0005-0000-0000-000004020000}"/>
    <cellStyle name="20% - Accent1 2 9 2" xfId="526" xr:uid="{00000000-0005-0000-0000-000005020000}"/>
    <cellStyle name="20% - Accent1 3" xfId="527" xr:uid="{00000000-0005-0000-0000-000006020000}"/>
    <cellStyle name="20% - Accent1 3 2" xfId="528" xr:uid="{00000000-0005-0000-0000-000007020000}"/>
    <cellStyle name="20% - Accent1 3 2 2" xfId="529" xr:uid="{00000000-0005-0000-0000-000008020000}"/>
    <cellStyle name="20% - Accent1 3 2 2 2" xfId="530" xr:uid="{00000000-0005-0000-0000-000009020000}"/>
    <cellStyle name="20% - Accent1 3 2 2 2 2" xfId="531" xr:uid="{00000000-0005-0000-0000-00000A020000}"/>
    <cellStyle name="20% - Accent1 3 2 2 2 2 2" xfId="532" xr:uid="{00000000-0005-0000-0000-00000B020000}"/>
    <cellStyle name="20% - Accent1 3 2 2 2 2 2 2" xfId="533" xr:uid="{00000000-0005-0000-0000-00000C020000}"/>
    <cellStyle name="20% - Accent1 3 2 2 2 2 2 2 2" xfId="534" xr:uid="{00000000-0005-0000-0000-00000D020000}"/>
    <cellStyle name="20% - Accent1 3 2 2 2 2 2 2 2 2" xfId="535" xr:uid="{00000000-0005-0000-0000-00000E020000}"/>
    <cellStyle name="20% - Accent1 3 2 2 2 2 2 2 3" xfId="536" xr:uid="{00000000-0005-0000-0000-00000F020000}"/>
    <cellStyle name="20% - Accent1 3 2 2 2 2 2 3" xfId="537" xr:uid="{00000000-0005-0000-0000-000010020000}"/>
    <cellStyle name="20% - Accent1 3 2 2 2 2 2 3 2" xfId="538" xr:uid="{00000000-0005-0000-0000-000011020000}"/>
    <cellStyle name="20% - Accent1 3 2 2 2 2 2 4" xfId="539" xr:uid="{00000000-0005-0000-0000-000012020000}"/>
    <cellStyle name="20% - Accent1 3 2 2 2 2 3" xfId="540" xr:uid="{00000000-0005-0000-0000-000013020000}"/>
    <cellStyle name="20% - Accent1 3 2 2 2 2 3 2" xfId="541" xr:uid="{00000000-0005-0000-0000-000014020000}"/>
    <cellStyle name="20% - Accent1 3 2 2 2 2 3 2 2" xfId="542" xr:uid="{00000000-0005-0000-0000-000015020000}"/>
    <cellStyle name="20% - Accent1 3 2 2 2 2 3 3" xfId="543" xr:uid="{00000000-0005-0000-0000-000016020000}"/>
    <cellStyle name="20% - Accent1 3 2 2 2 2 4" xfId="544" xr:uid="{00000000-0005-0000-0000-000017020000}"/>
    <cellStyle name="20% - Accent1 3 2 2 2 2 4 2" xfId="545" xr:uid="{00000000-0005-0000-0000-000018020000}"/>
    <cellStyle name="20% - Accent1 3 2 2 2 2 5" xfId="546" xr:uid="{00000000-0005-0000-0000-000019020000}"/>
    <cellStyle name="20% - Accent1 3 2 2 2 3" xfId="547" xr:uid="{00000000-0005-0000-0000-00001A020000}"/>
    <cellStyle name="20% - Accent1 3 2 2 2 3 2" xfId="548" xr:uid="{00000000-0005-0000-0000-00001B020000}"/>
    <cellStyle name="20% - Accent1 3 2 2 2 3 2 2" xfId="549" xr:uid="{00000000-0005-0000-0000-00001C020000}"/>
    <cellStyle name="20% - Accent1 3 2 2 2 3 2 2 2" xfId="550" xr:uid="{00000000-0005-0000-0000-00001D020000}"/>
    <cellStyle name="20% - Accent1 3 2 2 2 3 2 3" xfId="551" xr:uid="{00000000-0005-0000-0000-00001E020000}"/>
    <cellStyle name="20% - Accent1 3 2 2 2 3 3" xfId="552" xr:uid="{00000000-0005-0000-0000-00001F020000}"/>
    <cellStyle name="20% - Accent1 3 2 2 2 3 3 2" xfId="553" xr:uid="{00000000-0005-0000-0000-000020020000}"/>
    <cellStyle name="20% - Accent1 3 2 2 2 3 4" xfId="554" xr:uid="{00000000-0005-0000-0000-000021020000}"/>
    <cellStyle name="20% - Accent1 3 2 2 2 4" xfId="555" xr:uid="{00000000-0005-0000-0000-000022020000}"/>
    <cellStyle name="20% - Accent1 3 2 2 2 4 2" xfId="556" xr:uid="{00000000-0005-0000-0000-000023020000}"/>
    <cellStyle name="20% - Accent1 3 2 2 2 4 2 2" xfId="557" xr:uid="{00000000-0005-0000-0000-000024020000}"/>
    <cellStyle name="20% - Accent1 3 2 2 2 4 3" xfId="558" xr:uid="{00000000-0005-0000-0000-000025020000}"/>
    <cellStyle name="20% - Accent1 3 2 2 2 5" xfId="559" xr:uid="{00000000-0005-0000-0000-000026020000}"/>
    <cellStyle name="20% - Accent1 3 2 2 2 5 2" xfId="560" xr:uid="{00000000-0005-0000-0000-000027020000}"/>
    <cellStyle name="20% - Accent1 3 2 2 2 6" xfId="561" xr:uid="{00000000-0005-0000-0000-000028020000}"/>
    <cellStyle name="20% - Accent1 3 2 2 3" xfId="562" xr:uid="{00000000-0005-0000-0000-000029020000}"/>
    <cellStyle name="20% - Accent1 3 2 2 3 2" xfId="563" xr:uid="{00000000-0005-0000-0000-00002A020000}"/>
    <cellStyle name="20% - Accent1 3 2 2 3 2 2" xfId="564" xr:uid="{00000000-0005-0000-0000-00002B020000}"/>
    <cellStyle name="20% - Accent1 3 2 2 3 2 2 2" xfId="565" xr:uid="{00000000-0005-0000-0000-00002C020000}"/>
    <cellStyle name="20% - Accent1 3 2 2 3 2 2 2 2" xfId="566" xr:uid="{00000000-0005-0000-0000-00002D020000}"/>
    <cellStyle name="20% - Accent1 3 2 2 3 2 2 3" xfId="567" xr:uid="{00000000-0005-0000-0000-00002E020000}"/>
    <cellStyle name="20% - Accent1 3 2 2 3 2 3" xfId="568" xr:uid="{00000000-0005-0000-0000-00002F020000}"/>
    <cellStyle name="20% - Accent1 3 2 2 3 2 3 2" xfId="569" xr:uid="{00000000-0005-0000-0000-000030020000}"/>
    <cellStyle name="20% - Accent1 3 2 2 3 2 4" xfId="570" xr:uid="{00000000-0005-0000-0000-000031020000}"/>
    <cellStyle name="20% - Accent1 3 2 2 3 3" xfId="571" xr:uid="{00000000-0005-0000-0000-000032020000}"/>
    <cellStyle name="20% - Accent1 3 2 2 3 3 2" xfId="572" xr:uid="{00000000-0005-0000-0000-000033020000}"/>
    <cellStyle name="20% - Accent1 3 2 2 3 3 2 2" xfId="573" xr:uid="{00000000-0005-0000-0000-000034020000}"/>
    <cellStyle name="20% - Accent1 3 2 2 3 3 3" xfId="574" xr:uid="{00000000-0005-0000-0000-000035020000}"/>
    <cellStyle name="20% - Accent1 3 2 2 3 4" xfId="575" xr:uid="{00000000-0005-0000-0000-000036020000}"/>
    <cellStyle name="20% - Accent1 3 2 2 3 4 2" xfId="576" xr:uid="{00000000-0005-0000-0000-000037020000}"/>
    <cellStyle name="20% - Accent1 3 2 2 3 5" xfId="577" xr:uid="{00000000-0005-0000-0000-000038020000}"/>
    <cellStyle name="20% - Accent1 3 2 2 4" xfId="578" xr:uid="{00000000-0005-0000-0000-000039020000}"/>
    <cellStyle name="20% - Accent1 3 2 2 4 2" xfId="579" xr:uid="{00000000-0005-0000-0000-00003A020000}"/>
    <cellStyle name="20% - Accent1 3 2 2 4 2 2" xfId="580" xr:uid="{00000000-0005-0000-0000-00003B020000}"/>
    <cellStyle name="20% - Accent1 3 2 2 4 2 2 2" xfId="581" xr:uid="{00000000-0005-0000-0000-00003C020000}"/>
    <cellStyle name="20% - Accent1 3 2 2 4 2 3" xfId="582" xr:uid="{00000000-0005-0000-0000-00003D020000}"/>
    <cellStyle name="20% - Accent1 3 2 2 4 3" xfId="583" xr:uid="{00000000-0005-0000-0000-00003E020000}"/>
    <cellStyle name="20% - Accent1 3 2 2 4 3 2" xfId="584" xr:uid="{00000000-0005-0000-0000-00003F020000}"/>
    <cellStyle name="20% - Accent1 3 2 2 4 4" xfId="585" xr:uid="{00000000-0005-0000-0000-000040020000}"/>
    <cellStyle name="20% - Accent1 3 2 2 5" xfId="586" xr:uid="{00000000-0005-0000-0000-000041020000}"/>
    <cellStyle name="20% - Accent1 3 2 2 5 2" xfId="587" xr:uid="{00000000-0005-0000-0000-000042020000}"/>
    <cellStyle name="20% - Accent1 3 2 2 5 2 2" xfId="588" xr:uid="{00000000-0005-0000-0000-000043020000}"/>
    <cellStyle name="20% - Accent1 3 2 2 5 3" xfId="589" xr:uid="{00000000-0005-0000-0000-000044020000}"/>
    <cellStyle name="20% - Accent1 3 2 2 6" xfId="590" xr:uid="{00000000-0005-0000-0000-000045020000}"/>
    <cellStyle name="20% - Accent1 3 2 2 6 2" xfId="591" xr:uid="{00000000-0005-0000-0000-000046020000}"/>
    <cellStyle name="20% - Accent1 3 2 2 7" xfId="592" xr:uid="{00000000-0005-0000-0000-000047020000}"/>
    <cellStyle name="20% - Accent1 3 2 3" xfId="593" xr:uid="{00000000-0005-0000-0000-000048020000}"/>
    <cellStyle name="20% - Accent1 3 2 3 2" xfId="594" xr:uid="{00000000-0005-0000-0000-000049020000}"/>
    <cellStyle name="20% - Accent1 3 2 3 2 2" xfId="595" xr:uid="{00000000-0005-0000-0000-00004A020000}"/>
    <cellStyle name="20% - Accent1 3 2 3 2 2 2" xfId="596" xr:uid="{00000000-0005-0000-0000-00004B020000}"/>
    <cellStyle name="20% - Accent1 3 2 3 2 2 2 2" xfId="597" xr:uid="{00000000-0005-0000-0000-00004C020000}"/>
    <cellStyle name="20% - Accent1 3 2 3 2 2 2 2 2" xfId="598" xr:uid="{00000000-0005-0000-0000-00004D020000}"/>
    <cellStyle name="20% - Accent1 3 2 3 2 2 2 3" xfId="599" xr:uid="{00000000-0005-0000-0000-00004E020000}"/>
    <cellStyle name="20% - Accent1 3 2 3 2 2 3" xfId="600" xr:uid="{00000000-0005-0000-0000-00004F020000}"/>
    <cellStyle name="20% - Accent1 3 2 3 2 2 3 2" xfId="601" xr:uid="{00000000-0005-0000-0000-000050020000}"/>
    <cellStyle name="20% - Accent1 3 2 3 2 2 4" xfId="602" xr:uid="{00000000-0005-0000-0000-000051020000}"/>
    <cellStyle name="20% - Accent1 3 2 3 2 3" xfId="603" xr:uid="{00000000-0005-0000-0000-000052020000}"/>
    <cellStyle name="20% - Accent1 3 2 3 2 3 2" xfId="604" xr:uid="{00000000-0005-0000-0000-000053020000}"/>
    <cellStyle name="20% - Accent1 3 2 3 2 3 2 2" xfId="605" xr:uid="{00000000-0005-0000-0000-000054020000}"/>
    <cellStyle name="20% - Accent1 3 2 3 2 3 3" xfId="606" xr:uid="{00000000-0005-0000-0000-000055020000}"/>
    <cellStyle name="20% - Accent1 3 2 3 2 4" xfId="607" xr:uid="{00000000-0005-0000-0000-000056020000}"/>
    <cellStyle name="20% - Accent1 3 2 3 2 4 2" xfId="608" xr:uid="{00000000-0005-0000-0000-000057020000}"/>
    <cellStyle name="20% - Accent1 3 2 3 2 5" xfId="609" xr:uid="{00000000-0005-0000-0000-000058020000}"/>
    <cellStyle name="20% - Accent1 3 2 3 3" xfId="610" xr:uid="{00000000-0005-0000-0000-000059020000}"/>
    <cellStyle name="20% - Accent1 3 2 3 3 2" xfId="611" xr:uid="{00000000-0005-0000-0000-00005A020000}"/>
    <cellStyle name="20% - Accent1 3 2 3 3 2 2" xfId="612" xr:uid="{00000000-0005-0000-0000-00005B020000}"/>
    <cellStyle name="20% - Accent1 3 2 3 3 2 2 2" xfId="613" xr:uid="{00000000-0005-0000-0000-00005C020000}"/>
    <cellStyle name="20% - Accent1 3 2 3 3 2 3" xfId="614" xr:uid="{00000000-0005-0000-0000-00005D020000}"/>
    <cellStyle name="20% - Accent1 3 2 3 3 3" xfId="615" xr:uid="{00000000-0005-0000-0000-00005E020000}"/>
    <cellStyle name="20% - Accent1 3 2 3 3 3 2" xfId="616" xr:uid="{00000000-0005-0000-0000-00005F020000}"/>
    <cellStyle name="20% - Accent1 3 2 3 3 4" xfId="617" xr:uid="{00000000-0005-0000-0000-000060020000}"/>
    <cellStyle name="20% - Accent1 3 2 3 4" xfId="618" xr:uid="{00000000-0005-0000-0000-000061020000}"/>
    <cellStyle name="20% - Accent1 3 2 3 4 2" xfId="619" xr:uid="{00000000-0005-0000-0000-000062020000}"/>
    <cellStyle name="20% - Accent1 3 2 3 4 2 2" xfId="620" xr:uid="{00000000-0005-0000-0000-000063020000}"/>
    <cellStyle name="20% - Accent1 3 2 3 4 3" xfId="621" xr:uid="{00000000-0005-0000-0000-000064020000}"/>
    <cellStyle name="20% - Accent1 3 2 3 5" xfId="622" xr:uid="{00000000-0005-0000-0000-000065020000}"/>
    <cellStyle name="20% - Accent1 3 2 3 5 2" xfId="623" xr:uid="{00000000-0005-0000-0000-000066020000}"/>
    <cellStyle name="20% - Accent1 3 2 3 6" xfId="624" xr:uid="{00000000-0005-0000-0000-000067020000}"/>
    <cellStyle name="20% - Accent1 3 2 4" xfId="625" xr:uid="{00000000-0005-0000-0000-000068020000}"/>
    <cellStyle name="20% - Accent1 3 2 4 2" xfId="626" xr:uid="{00000000-0005-0000-0000-000069020000}"/>
    <cellStyle name="20% - Accent1 3 2 4 2 2" xfId="627" xr:uid="{00000000-0005-0000-0000-00006A020000}"/>
    <cellStyle name="20% - Accent1 3 2 4 2 2 2" xfId="628" xr:uid="{00000000-0005-0000-0000-00006B020000}"/>
    <cellStyle name="20% - Accent1 3 2 4 2 2 2 2" xfId="629" xr:uid="{00000000-0005-0000-0000-00006C020000}"/>
    <cellStyle name="20% - Accent1 3 2 4 2 2 3" xfId="630" xr:uid="{00000000-0005-0000-0000-00006D020000}"/>
    <cellStyle name="20% - Accent1 3 2 4 2 3" xfId="631" xr:uid="{00000000-0005-0000-0000-00006E020000}"/>
    <cellStyle name="20% - Accent1 3 2 4 2 3 2" xfId="632" xr:uid="{00000000-0005-0000-0000-00006F020000}"/>
    <cellStyle name="20% - Accent1 3 2 4 2 4" xfId="633" xr:uid="{00000000-0005-0000-0000-000070020000}"/>
    <cellStyle name="20% - Accent1 3 2 4 3" xfId="634" xr:uid="{00000000-0005-0000-0000-000071020000}"/>
    <cellStyle name="20% - Accent1 3 2 4 3 2" xfId="635" xr:uid="{00000000-0005-0000-0000-000072020000}"/>
    <cellStyle name="20% - Accent1 3 2 4 3 2 2" xfId="636" xr:uid="{00000000-0005-0000-0000-000073020000}"/>
    <cellStyle name="20% - Accent1 3 2 4 3 3" xfId="637" xr:uid="{00000000-0005-0000-0000-000074020000}"/>
    <cellStyle name="20% - Accent1 3 2 4 4" xfId="638" xr:uid="{00000000-0005-0000-0000-000075020000}"/>
    <cellStyle name="20% - Accent1 3 2 4 4 2" xfId="639" xr:uid="{00000000-0005-0000-0000-000076020000}"/>
    <cellStyle name="20% - Accent1 3 2 4 5" xfId="640" xr:uid="{00000000-0005-0000-0000-000077020000}"/>
    <cellStyle name="20% - Accent1 3 2 5" xfId="641" xr:uid="{00000000-0005-0000-0000-000078020000}"/>
    <cellStyle name="20% - Accent1 3 2 5 2" xfId="642" xr:uid="{00000000-0005-0000-0000-000079020000}"/>
    <cellStyle name="20% - Accent1 3 2 5 2 2" xfId="643" xr:uid="{00000000-0005-0000-0000-00007A020000}"/>
    <cellStyle name="20% - Accent1 3 2 5 2 2 2" xfId="644" xr:uid="{00000000-0005-0000-0000-00007B020000}"/>
    <cellStyle name="20% - Accent1 3 2 5 2 3" xfId="645" xr:uid="{00000000-0005-0000-0000-00007C020000}"/>
    <cellStyle name="20% - Accent1 3 2 5 3" xfId="646" xr:uid="{00000000-0005-0000-0000-00007D020000}"/>
    <cellStyle name="20% - Accent1 3 2 5 3 2" xfId="647" xr:uid="{00000000-0005-0000-0000-00007E020000}"/>
    <cellStyle name="20% - Accent1 3 2 5 4" xfId="648" xr:uid="{00000000-0005-0000-0000-00007F020000}"/>
    <cellStyle name="20% - Accent1 3 2 6" xfId="649" xr:uid="{00000000-0005-0000-0000-000080020000}"/>
    <cellStyle name="20% - Accent1 3 2 6 2" xfId="650" xr:uid="{00000000-0005-0000-0000-000081020000}"/>
    <cellStyle name="20% - Accent1 3 2 6 2 2" xfId="651" xr:uid="{00000000-0005-0000-0000-000082020000}"/>
    <cellStyle name="20% - Accent1 3 2 6 3" xfId="652" xr:uid="{00000000-0005-0000-0000-000083020000}"/>
    <cellStyle name="20% - Accent1 3 2 7" xfId="653" xr:uid="{00000000-0005-0000-0000-000084020000}"/>
    <cellStyle name="20% - Accent1 3 2 7 2" xfId="654" xr:uid="{00000000-0005-0000-0000-000085020000}"/>
    <cellStyle name="20% - Accent1 3 2 8" xfId="655" xr:uid="{00000000-0005-0000-0000-000086020000}"/>
    <cellStyle name="20% - Accent1 3 3" xfId="656" xr:uid="{00000000-0005-0000-0000-000087020000}"/>
    <cellStyle name="20% - Accent1 3 3 2" xfId="657" xr:uid="{00000000-0005-0000-0000-000088020000}"/>
    <cellStyle name="20% - Accent1 3 3 2 2" xfId="658" xr:uid="{00000000-0005-0000-0000-000089020000}"/>
    <cellStyle name="20% - Accent1 3 3 2 2 2" xfId="659" xr:uid="{00000000-0005-0000-0000-00008A020000}"/>
    <cellStyle name="20% - Accent1 3 3 2 2 2 2" xfId="660" xr:uid="{00000000-0005-0000-0000-00008B020000}"/>
    <cellStyle name="20% - Accent1 3 3 2 2 2 2 2" xfId="661" xr:uid="{00000000-0005-0000-0000-00008C020000}"/>
    <cellStyle name="20% - Accent1 3 3 2 2 2 2 2 2" xfId="662" xr:uid="{00000000-0005-0000-0000-00008D020000}"/>
    <cellStyle name="20% - Accent1 3 3 2 2 2 2 3" xfId="663" xr:uid="{00000000-0005-0000-0000-00008E020000}"/>
    <cellStyle name="20% - Accent1 3 3 2 2 2 3" xfId="664" xr:uid="{00000000-0005-0000-0000-00008F020000}"/>
    <cellStyle name="20% - Accent1 3 3 2 2 2 3 2" xfId="665" xr:uid="{00000000-0005-0000-0000-000090020000}"/>
    <cellStyle name="20% - Accent1 3 3 2 2 2 4" xfId="666" xr:uid="{00000000-0005-0000-0000-000091020000}"/>
    <cellStyle name="20% - Accent1 3 3 2 2 3" xfId="667" xr:uid="{00000000-0005-0000-0000-000092020000}"/>
    <cellStyle name="20% - Accent1 3 3 2 2 3 2" xfId="668" xr:uid="{00000000-0005-0000-0000-000093020000}"/>
    <cellStyle name="20% - Accent1 3 3 2 2 3 2 2" xfId="669" xr:uid="{00000000-0005-0000-0000-000094020000}"/>
    <cellStyle name="20% - Accent1 3 3 2 2 3 3" xfId="670" xr:uid="{00000000-0005-0000-0000-000095020000}"/>
    <cellStyle name="20% - Accent1 3 3 2 2 4" xfId="671" xr:uid="{00000000-0005-0000-0000-000096020000}"/>
    <cellStyle name="20% - Accent1 3 3 2 2 4 2" xfId="672" xr:uid="{00000000-0005-0000-0000-000097020000}"/>
    <cellStyle name="20% - Accent1 3 3 2 2 5" xfId="673" xr:uid="{00000000-0005-0000-0000-000098020000}"/>
    <cellStyle name="20% - Accent1 3 3 2 3" xfId="674" xr:uid="{00000000-0005-0000-0000-000099020000}"/>
    <cellStyle name="20% - Accent1 3 3 2 3 2" xfId="675" xr:uid="{00000000-0005-0000-0000-00009A020000}"/>
    <cellStyle name="20% - Accent1 3 3 2 3 2 2" xfId="676" xr:uid="{00000000-0005-0000-0000-00009B020000}"/>
    <cellStyle name="20% - Accent1 3 3 2 3 2 2 2" xfId="677" xr:uid="{00000000-0005-0000-0000-00009C020000}"/>
    <cellStyle name="20% - Accent1 3 3 2 3 2 3" xfId="678" xr:uid="{00000000-0005-0000-0000-00009D020000}"/>
    <cellStyle name="20% - Accent1 3 3 2 3 3" xfId="679" xr:uid="{00000000-0005-0000-0000-00009E020000}"/>
    <cellStyle name="20% - Accent1 3 3 2 3 3 2" xfId="680" xr:uid="{00000000-0005-0000-0000-00009F020000}"/>
    <cellStyle name="20% - Accent1 3 3 2 3 4" xfId="681" xr:uid="{00000000-0005-0000-0000-0000A0020000}"/>
    <cellStyle name="20% - Accent1 3 3 2 4" xfId="682" xr:uid="{00000000-0005-0000-0000-0000A1020000}"/>
    <cellStyle name="20% - Accent1 3 3 2 4 2" xfId="683" xr:uid="{00000000-0005-0000-0000-0000A2020000}"/>
    <cellStyle name="20% - Accent1 3 3 2 4 2 2" xfId="684" xr:uid="{00000000-0005-0000-0000-0000A3020000}"/>
    <cellStyle name="20% - Accent1 3 3 2 4 3" xfId="685" xr:uid="{00000000-0005-0000-0000-0000A4020000}"/>
    <cellStyle name="20% - Accent1 3 3 2 5" xfId="686" xr:uid="{00000000-0005-0000-0000-0000A5020000}"/>
    <cellStyle name="20% - Accent1 3 3 2 5 2" xfId="687" xr:uid="{00000000-0005-0000-0000-0000A6020000}"/>
    <cellStyle name="20% - Accent1 3 3 2 6" xfId="688" xr:uid="{00000000-0005-0000-0000-0000A7020000}"/>
    <cellStyle name="20% - Accent1 3 3 3" xfId="689" xr:uid="{00000000-0005-0000-0000-0000A8020000}"/>
    <cellStyle name="20% - Accent1 3 3 3 2" xfId="690" xr:uid="{00000000-0005-0000-0000-0000A9020000}"/>
    <cellStyle name="20% - Accent1 3 3 3 2 2" xfId="691" xr:uid="{00000000-0005-0000-0000-0000AA020000}"/>
    <cellStyle name="20% - Accent1 3 3 3 2 2 2" xfId="692" xr:uid="{00000000-0005-0000-0000-0000AB020000}"/>
    <cellStyle name="20% - Accent1 3 3 3 2 2 2 2" xfId="693" xr:uid="{00000000-0005-0000-0000-0000AC020000}"/>
    <cellStyle name="20% - Accent1 3 3 3 2 2 3" xfId="694" xr:uid="{00000000-0005-0000-0000-0000AD020000}"/>
    <cellStyle name="20% - Accent1 3 3 3 2 3" xfId="695" xr:uid="{00000000-0005-0000-0000-0000AE020000}"/>
    <cellStyle name="20% - Accent1 3 3 3 2 3 2" xfId="696" xr:uid="{00000000-0005-0000-0000-0000AF020000}"/>
    <cellStyle name="20% - Accent1 3 3 3 2 4" xfId="697" xr:uid="{00000000-0005-0000-0000-0000B0020000}"/>
    <cellStyle name="20% - Accent1 3 3 3 3" xfId="698" xr:uid="{00000000-0005-0000-0000-0000B1020000}"/>
    <cellStyle name="20% - Accent1 3 3 3 3 2" xfId="699" xr:uid="{00000000-0005-0000-0000-0000B2020000}"/>
    <cellStyle name="20% - Accent1 3 3 3 3 2 2" xfId="700" xr:uid="{00000000-0005-0000-0000-0000B3020000}"/>
    <cellStyle name="20% - Accent1 3 3 3 3 3" xfId="701" xr:uid="{00000000-0005-0000-0000-0000B4020000}"/>
    <cellStyle name="20% - Accent1 3 3 3 4" xfId="702" xr:uid="{00000000-0005-0000-0000-0000B5020000}"/>
    <cellStyle name="20% - Accent1 3 3 3 4 2" xfId="703" xr:uid="{00000000-0005-0000-0000-0000B6020000}"/>
    <cellStyle name="20% - Accent1 3 3 3 5" xfId="704" xr:uid="{00000000-0005-0000-0000-0000B7020000}"/>
    <cellStyle name="20% - Accent1 3 3 4" xfId="705" xr:uid="{00000000-0005-0000-0000-0000B8020000}"/>
    <cellStyle name="20% - Accent1 3 3 4 2" xfId="706" xr:uid="{00000000-0005-0000-0000-0000B9020000}"/>
    <cellStyle name="20% - Accent1 3 3 4 2 2" xfId="707" xr:uid="{00000000-0005-0000-0000-0000BA020000}"/>
    <cellStyle name="20% - Accent1 3 3 4 2 2 2" xfId="708" xr:uid="{00000000-0005-0000-0000-0000BB020000}"/>
    <cellStyle name="20% - Accent1 3 3 4 2 3" xfId="709" xr:uid="{00000000-0005-0000-0000-0000BC020000}"/>
    <cellStyle name="20% - Accent1 3 3 4 3" xfId="710" xr:uid="{00000000-0005-0000-0000-0000BD020000}"/>
    <cellStyle name="20% - Accent1 3 3 4 3 2" xfId="711" xr:uid="{00000000-0005-0000-0000-0000BE020000}"/>
    <cellStyle name="20% - Accent1 3 3 4 4" xfId="712" xr:uid="{00000000-0005-0000-0000-0000BF020000}"/>
    <cellStyle name="20% - Accent1 3 3 5" xfId="713" xr:uid="{00000000-0005-0000-0000-0000C0020000}"/>
    <cellStyle name="20% - Accent1 3 3 5 2" xfId="714" xr:uid="{00000000-0005-0000-0000-0000C1020000}"/>
    <cellStyle name="20% - Accent1 3 3 5 2 2" xfId="715" xr:uid="{00000000-0005-0000-0000-0000C2020000}"/>
    <cellStyle name="20% - Accent1 3 3 5 3" xfId="716" xr:uid="{00000000-0005-0000-0000-0000C3020000}"/>
    <cellStyle name="20% - Accent1 3 3 6" xfId="717" xr:uid="{00000000-0005-0000-0000-0000C4020000}"/>
    <cellStyle name="20% - Accent1 3 3 6 2" xfId="718" xr:uid="{00000000-0005-0000-0000-0000C5020000}"/>
    <cellStyle name="20% - Accent1 3 3 7" xfId="719" xr:uid="{00000000-0005-0000-0000-0000C6020000}"/>
    <cellStyle name="20% - Accent1 3 4" xfId="720" xr:uid="{00000000-0005-0000-0000-0000C7020000}"/>
    <cellStyle name="20% - Accent1 3 4 2" xfId="721" xr:uid="{00000000-0005-0000-0000-0000C8020000}"/>
    <cellStyle name="20% - Accent1 3 4 2 2" xfId="722" xr:uid="{00000000-0005-0000-0000-0000C9020000}"/>
    <cellStyle name="20% - Accent1 3 4 2 2 2" xfId="723" xr:uid="{00000000-0005-0000-0000-0000CA020000}"/>
    <cellStyle name="20% - Accent1 3 4 2 2 2 2" xfId="724" xr:uid="{00000000-0005-0000-0000-0000CB020000}"/>
    <cellStyle name="20% - Accent1 3 4 2 2 2 2 2" xfId="725" xr:uid="{00000000-0005-0000-0000-0000CC020000}"/>
    <cellStyle name="20% - Accent1 3 4 2 2 2 3" xfId="726" xr:uid="{00000000-0005-0000-0000-0000CD020000}"/>
    <cellStyle name="20% - Accent1 3 4 2 2 3" xfId="727" xr:uid="{00000000-0005-0000-0000-0000CE020000}"/>
    <cellStyle name="20% - Accent1 3 4 2 2 3 2" xfId="728" xr:uid="{00000000-0005-0000-0000-0000CF020000}"/>
    <cellStyle name="20% - Accent1 3 4 2 2 4" xfId="729" xr:uid="{00000000-0005-0000-0000-0000D0020000}"/>
    <cellStyle name="20% - Accent1 3 4 2 3" xfId="730" xr:uid="{00000000-0005-0000-0000-0000D1020000}"/>
    <cellStyle name="20% - Accent1 3 4 2 3 2" xfId="731" xr:uid="{00000000-0005-0000-0000-0000D2020000}"/>
    <cellStyle name="20% - Accent1 3 4 2 3 2 2" xfId="732" xr:uid="{00000000-0005-0000-0000-0000D3020000}"/>
    <cellStyle name="20% - Accent1 3 4 2 3 3" xfId="733" xr:uid="{00000000-0005-0000-0000-0000D4020000}"/>
    <cellStyle name="20% - Accent1 3 4 2 4" xfId="734" xr:uid="{00000000-0005-0000-0000-0000D5020000}"/>
    <cellStyle name="20% - Accent1 3 4 2 4 2" xfId="735" xr:uid="{00000000-0005-0000-0000-0000D6020000}"/>
    <cellStyle name="20% - Accent1 3 4 2 5" xfId="736" xr:uid="{00000000-0005-0000-0000-0000D7020000}"/>
    <cellStyle name="20% - Accent1 3 4 3" xfId="737" xr:uid="{00000000-0005-0000-0000-0000D8020000}"/>
    <cellStyle name="20% - Accent1 3 4 3 2" xfId="738" xr:uid="{00000000-0005-0000-0000-0000D9020000}"/>
    <cellStyle name="20% - Accent1 3 4 3 2 2" xfId="739" xr:uid="{00000000-0005-0000-0000-0000DA020000}"/>
    <cellStyle name="20% - Accent1 3 4 3 2 2 2" xfId="740" xr:uid="{00000000-0005-0000-0000-0000DB020000}"/>
    <cellStyle name="20% - Accent1 3 4 3 2 3" xfId="741" xr:uid="{00000000-0005-0000-0000-0000DC020000}"/>
    <cellStyle name="20% - Accent1 3 4 3 3" xfId="742" xr:uid="{00000000-0005-0000-0000-0000DD020000}"/>
    <cellStyle name="20% - Accent1 3 4 3 3 2" xfId="743" xr:uid="{00000000-0005-0000-0000-0000DE020000}"/>
    <cellStyle name="20% - Accent1 3 4 3 4" xfId="744" xr:uid="{00000000-0005-0000-0000-0000DF020000}"/>
    <cellStyle name="20% - Accent1 3 4 4" xfId="745" xr:uid="{00000000-0005-0000-0000-0000E0020000}"/>
    <cellStyle name="20% - Accent1 3 4 4 2" xfId="746" xr:uid="{00000000-0005-0000-0000-0000E1020000}"/>
    <cellStyle name="20% - Accent1 3 4 4 2 2" xfId="747" xr:uid="{00000000-0005-0000-0000-0000E2020000}"/>
    <cellStyle name="20% - Accent1 3 4 4 3" xfId="748" xr:uid="{00000000-0005-0000-0000-0000E3020000}"/>
    <cellStyle name="20% - Accent1 3 4 5" xfId="749" xr:uid="{00000000-0005-0000-0000-0000E4020000}"/>
    <cellStyle name="20% - Accent1 3 4 5 2" xfId="750" xr:uid="{00000000-0005-0000-0000-0000E5020000}"/>
    <cellStyle name="20% - Accent1 3 4 6" xfId="751" xr:uid="{00000000-0005-0000-0000-0000E6020000}"/>
    <cellStyle name="20% - Accent1 3 5" xfId="752" xr:uid="{00000000-0005-0000-0000-0000E7020000}"/>
    <cellStyle name="20% - Accent1 3 5 2" xfId="753" xr:uid="{00000000-0005-0000-0000-0000E8020000}"/>
    <cellStyle name="20% - Accent1 3 5 2 2" xfId="754" xr:uid="{00000000-0005-0000-0000-0000E9020000}"/>
    <cellStyle name="20% - Accent1 3 5 2 2 2" xfId="755" xr:uid="{00000000-0005-0000-0000-0000EA020000}"/>
    <cellStyle name="20% - Accent1 3 5 2 2 2 2" xfId="756" xr:uid="{00000000-0005-0000-0000-0000EB020000}"/>
    <cellStyle name="20% - Accent1 3 5 2 2 3" xfId="757" xr:uid="{00000000-0005-0000-0000-0000EC020000}"/>
    <cellStyle name="20% - Accent1 3 5 2 3" xfId="758" xr:uid="{00000000-0005-0000-0000-0000ED020000}"/>
    <cellStyle name="20% - Accent1 3 5 2 3 2" xfId="759" xr:uid="{00000000-0005-0000-0000-0000EE020000}"/>
    <cellStyle name="20% - Accent1 3 5 2 4" xfId="760" xr:uid="{00000000-0005-0000-0000-0000EF020000}"/>
    <cellStyle name="20% - Accent1 3 5 3" xfId="761" xr:uid="{00000000-0005-0000-0000-0000F0020000}"/>
    <cellStyle name="20% - Accent1 3 5 3 2" xfId="762" xr:uid="{00000000-0005-0000-0000-0000F1020000}"/>
    <cellStyle name="20% - Accent1 3 5 3 2 2" xfId="763" xr:uid="{00000000-0005-0000-0000-0000F2020000}"/>
    <cellStyle name="20% - Accent1 3 5 3 3" xfId="764" xr:uid="{00000000-0005-0000-0000-0000F3020000}"/>
    <cellStyle name="20% - Accent1 3 5 4" xfId="765" xr:uid="{00000000-0005-0000-0000-0000F4020000}"/>
    <cellStyle name="20% - Accent1 3 5 4 2" xfId="766" xr:uid="{00000000-0005-0000-0000-0000F5020000}"/>
    <cellStyle name="20% - Accent1 3 5 5" xfId="767" xr:uid="{00000000-0005-0000-0000-0000F6020000}"/>
    <cellStyle name="20% - Accent1 3 6" xfId="768" xr:uid="{00000000-0005-0000-0000-0000F7020000}"/>
    <cellStyle name="20% - Accent1 3 6 2" xfId="769" xr:uid="{00000000-0005-0000-0000-0000F8020000}"/>
    <cellStyle name="20% - Accent1 3 6 2 2" xfId="770" xr:uid="{00000000-0005-0000-0000-0000F9020000}"/>
    <cellStyle name="20% - Accent1 3 6 2 2 2" xfId="771" xr:uid="{00000000-0005-0000-0000-0000FA020000}"/>
    <cellStyle name="20% - Accent1 3 6 2 3" xfId="772" xr:uid="{00000000-0005-0000-0000-0000FB020000}"/>
    <cellStyle name="20% - Accent1 3 6 3" xfId="773" xr:uid="{00000000-0005-0000-0000-0000FC020000}"/>
    <cellStyle name="20% - Accent1 3 6 3 2" xfId="774" xr:uid="{00000000-0005-0000-0000-0000FD020000}"/>
    <cellStyle name="20% - Accent1 3 6 4" xfId="775" xr:uid="{00000000-0005-0000-0000-0000FE020000}"/>
    <cellStyle name="20% - Accent1 3 7" xfId="776" xr:uid="{00000000-0005-0000-0000-0000FF020000}"/>
    <cellStyle name="20% - Accent1 3 7 2" xfId="777" xr:uid="{00000000-0005-0000-0000-000000030000}"/>
    <cellStyle name="20% - Accent1 3 7 2 2" xfId="778" xr:uid="{00000000-0005-0000-0000-000001030000}"/>
    <cellStyle name="20% - Accent1 3 7 3" xfId="779" xr:uid="{00000000-0005-0000-0000-000002030000}"/>
    <cellStyle name="20% - Accent1 3 8" xfId="780" xr:uid="{00000000-0005-0000-0000-000003030000}"/>
    <cellStyle name="20% - Accent1 3 8 2" xfId="781" xr:uid="{00000000-0005-0000-0000-000004030000}"/>
    <cellStyle name="20% - Accent1 3 9" xfId="782" xr:uid="{00000000-0005-0000-0000-000005030000}"/>
    <cellStyle name="20% - Accent1 4" xfId="783" xr:uid="{00000000-0005-0000-0000-000006030000}"/>
    <cellStyle name="20% - Accent1 4 2" xfId="784" xr:uid="{00000000-0005-0000-0000-000007030000}"/>
    <cellStyle name="20% - Accent1 4 2 2" xfId="785" xr:uid="{00000000-0005-0000-0000-000008030000}"/>
    <cellStyle name="20% - Accent1 4 2 2 2" xfId="786" xr:uid="{00000000-0005-0000-0000-000009030000}"/>
    <cellStyle name="20% - Accent1 4 2 2 2 2" xfId="787" xr:uid="{00000000-0005-0000-0000-00000A030000}"/>
    <cellStyle name="20% - Accent1 4 2 2 2 2 2" xfId="788" xr:uid="{00000000-0005-0000-0000-00000B030000}"/>
    <cellStyle name="20% - Accent1 4 2 2 2 2 2 2" xfId="789" xr:uid="{00000000-0005-0000-0000-00000C030000}"/>
    <cellStyle name="20% - Accent1 4 2 2 2 2 2 2 2" xfId="790" xr:uid="{00000000-0005-0000-0000-00000D030000}"/>
    <cellStyle name="20% - Accent1 4 2 2 2 2 2 3" xfId="791" xr:uid="{00000000-0005-0000-0000-00000E030000}"/>
    <cellStyle name="20% - Accent1 4 2 2 2 2 3" xfId="792" xr:uid="{00000000-0005-0000-0000-00000F030000}"/>
    <cellStyle name="20% - Accent1 4 2 2 2 2 3 2" xfId="793" xr:uid="{00000000-0005-0000-0000-000010030000}"/>
    <cellStyle name="20% - Accent1 4 2 2 2 2 4" xfId="794" xr:uid="{00000000-0005-0000-0000-000011030000}"/>
    <cellStyle name="20% - Accent1 4 2 2 2 3" xfId="795" xr:uid="{00000000-0005-0000-0000-000012030000}"/>
    <cellStyle name="20% - Accent1 4 2 2 2 3 2" xfId="796" xr:uid="{00000000-0005-0000-0000-000013030000}"/>
    <cellStyle name="20% - Accent1 4 2 2 2 3 2 2" xfId="797" xr:uid="{00000000-0005-0000-0000-000014030000}"/>
    <cellStyle name="20% - Accent1 4 2 2 2 3 3" xfId="798" xr:uid="{00000000-0005-0000-0000-000015030000}"/>
    <cellStyle name="20% - Accent1 4 2 2 2 4" xfId="799" xr:uid="{00000000-0005-0000-0000-000016030000}"/>
    <cellStyle name="20% - Accent1 4 2 2 2 4 2" xfId="800" xr:uid="{00000000-0005-0000-0000-000017030000}"/>
    <cellStyle name="20% - Accent1 4 2 2 2 5" xfId="801" xr:uid="{00000000-0005-0000-0000-000018030000}"/>
    <cellStyle name="20% - Accent1 4 2 2 3" xfId="802" xr:uid="{00000000-0005-0000-0000-000019030000}"/>
    <cellStyle name="20% - Accent1 4 2 2 3 2" xfId="803" xr:uid="{00000000-0005-0000-0000-00001A030000}"/>
    <cellStyle name="20% - Accent1 4 2 2 3 2 2" xfId="804" xr:uid="{00000000-0005-0000-0000-00001B030000}"/>
    <cellStyle name="20% - Accent1 4 2 2 3 2 2 2" xfId="805" xr:uid="{00000000-0005-0000-0000-00001C030000}"/>
    <cellStyle name="20% - Accent1 4 2 2 3 2 3" xfId="806" xr:uid="{00000000-0005-0000-0000-00001D030000}"/>
    <cellStyle name="20% - Accent1 4 2 2 3 3" xfId="807" xr:uid="{00000000-0005-0000-0000-00001E030000}"/>
    <cellStyle name="20% - Accent1 4 2 2 3 3 2" xfId="808" xr:uid="{00000000-0005-0000-0000-00001F030000}"/>
    <cellStyle name="20% - Accent1 4 2 2 3 4" xfId="809" xr:uid="{00000000-0005-0000-0000-000020030000}"/>
    <cellStyle name="20% - Accent1 4 2 2 4" xfId="810" xr:uid="{00000000-0005-0000-0000-000021030000}"/>
    <cellStyle name="20% - Accent1 4 2 2 4 2" xfId="811" xr:uid="{00000000-0005-0000-0000-000022030000}"/>
    <cellStyle name="20% - Accent1 4 2 2 4 2 2" xfId="812" xr:uid="{00000000-0005-0000-0000-000023030000}"/>
    <cellStyle name="20% - Accent1 4 2 2 4 3" xfId="813" xr:uid="{00000000-0005-0000-0000-000024030000}"/>
    <cellStyle name="20% - Accent1 4 2 2 5" xfId="814" xr:uid="{00000000-0005-0000-0000-000025030000}"/>
    <cellStyle name="20% - Accent1 4 2 2 5 2" xfId="815" xr:uid="{00000000-0005-0000-0000-000026030000}"/>
    <cellStyle name="20% - Accent1 4 2 2 6" xfId="816" xr:uid="{00000000-0005-0000-0000-000027030000}"/>
    <cellStyle name="20% - Accent1 4 2 3" xfId="817" xr:uid="{00000000-0005-0000-0000-000028030000}"/>
    <cellStyle name="20% - Accent1 4 2 3 2" xfId="818" xr:uid="{00000000-0005-0000-0000-000029030000}"/>
    <cellStyle name="20% - Accent1 4 2 3 2 2" xfId="819" xr:uid="{00000000-0005-0000-0000-00002A030000}"/>
    <cellStyle name="20% - Accent1 4 2 3 2 2 2" xfId="820" xr:uid="{00000000-0005-0000-0000-00002B030000}"/>
    <cellStyle name="20% - Accent1 4 2 3 2 2 2 2" xfId="821" xr:uid="{00000000-0005-0000-0000-00002C030000}"/>
    <cellStyle name="20% - Accent1 4 2 3 2 2 3" xfId="822" xr:uid="{00000000-0005-0000-0000-00002D030000}"/>
    <cellStyle name="20% - Accent1 4 2 3 2 3" xfId="823" xr:uid="{00000000-0005-0000-0000-00002E030000}"/>
    <cellStyle name="20% - Accent1 4 2 3 2 3 2" xfId="824" xr:uid="{00000000-0005-0000-0000-00002F030000}"/>
    <cellStyle name="20% - Accent1 4 2 3 2 4" xfId="825" xr:uid="{00000000-0005-0000-0000-000030030000}"/>
    <cellStyle name="20% - Accent1 4 2 3 3" xfId="826" xr:uid="{00000000-0005-0000-0000-000031030000}"/>
    <cellStyle name="20% - Accent1 4 2 3 3 2" xfId="827" xr:uid="{00000000-0005-0000-0000-000032030000}"/>
    <cellStyle name="20% - Accent1 4 2 3 3 2 2" xfId="828" xr:uid="{00000000-0005-0000-0000-000033030000}"/>
    <cellStyle name="20% - Accent1 4 2 3 3 3" xfId="829" xr:uid="{00000000-0005-0000-0000-000034030000}"/>
    <cellStyle name="20% - Accent1 4 2 3 4" xfId="830" xr:uid="{00000000-0005-0000-0000-000035030000}"/>
    <cellStyle name="20% - Accent1 4 2 3 4 2" xfId="831" xr:uid="{00000000-0005-0000-0000-000036030000}"/>
    <cellStyle name="20% - Accent1 4 2 3 5" xfId="832" xr:uid="{00000000-0005-0000-0000-000037030000}"/>
    <cellStyle name="20% - Accent1 4 2 4" xfId="833" xr:uid="{00000000-0005-0000-0000-000038030000}"/>
    <cellStyle name="20% - Accent1 4 2 4 2" xfId="834" xr:uid="{00000000-0005-0000-0000-000039030000}"/>
    <cellStyle name="20% - Accent1 4 2 4 2 2" xfId="835" xr:uid="{00000000-0005-0000-0000-00003A030000}"/>
    <cellStyle name="20% - Accent1 4 2 4 2 2 2" xfId="836" xr:uid="{00000000-0005-0000-0000-00003B030000}"/>
    <cellStyle name="20% - Accent1 4 2 4 2 3" xfId="837" xr:uid="{00000000-0005-0000-0000-00003C030000}"/>
    <cellStyle name="20% - Accent1 4 2 4 3" xfId="838" xr:uid="{00000000-0005-0000-0000-00003D030000}"/>
    <cellStyle name="20% - Accent1 4 2 4 3 2" xfId="839" xr:uid="{00000000-0005-0000-0000-00003E030000}"/>
    <cellStyle name="20% - Accent1 4 2 4 4" xfId="840" xr:uid="{00000000-0005-0000-0000-00003F030000}"/>
    <cellStyle name="20% - Accent1 4 2 5" xfId="841" xr:uid="{00000000-0005-0000-0000-000040030000}"/>
    <cellStyle name="20% - Accent1 4 2 5 2" xfId="842" xr:uid="{00000000-0005-0000-0000-000041030000}"/>
    <cellStyle name="20% - Accent1 4 2 5 2 2" xfId="843" xr:uid="{00000000-0005-0000-0000-000042030000}"/>
    <cellStyle name="20% - Accent1 4 2 5 3" xfId="844" xr:uid="{00000000-0005-0000-0000-000043030000}"/>
    <cellStyle name="20% - Accent1 4 2 6" xfId="845" xr:uid="{00000000-0005-0000-0000-000044030000}"/>
    <cellStyle name="20% - Accent1 4 2 6 2" xfId="846" xr:uid="{00000000-0005-0000-0000-000045030000}"/>
    <cellStyle name="20% - Accent1 4 2 7" xfId="847" xr:uid="{00000000-0005-0000-0000-000046030000}"/>
    <cellStyle name="20% - Accent1 4 3" xfId="848" xr:uid="{00000000-0005-0000-0000-000047030000}"/>
    <cellStyle name="20% - Accent1 4 3 2" xfId="849" xr:uid="{00000000-0005-0000-0000-000048030000}"/>
    <cellStyle name="20% - Accent1 4 3 2 2" xfId="850" xr:uid="{00000000-0005-0000-0000-000049030000}"/>
    <cellStyle name="20% - Accent1 4 3 2 2 2" xfId="851" xr:uid="{00000000-0005-0000-0000-00004A030000}"/>
    <cellStyle name="20% - Accent1 4 3 2 2 2 2" xfId="852" xr:uid="{00000000-0005-0000-0000-00004B030000}"/>
    <cellStyle name="20% - Accent1 4 3 2 2 2 2 2" xfId="853" xr:uid="{00000000-0005-0000-0000-00004C030000}"/>
    <cellStyle name="20% - Accent1 4 3 2 2 2 3" xfId="854" xr:uid="{00000000-0005-0000-0000-00004D030000}"/>
    <cellStyle name="20% - Accent1 4 3 2 2 3" xfId="855" xr:uid="{00000000-0005-0000-0000-00004E030000}"/>
    <cellStyle name="20% - Accent1 4 3 2 2 3 2" xfId="856" xr:uid="{00000000-0005-0000-0000-00004F030000}"/>
    <cellStyle name="20% - Accent1 4 3 2 2 4" xfId="857" xr:uid="{00000000-0005-0000-0000-000050030000}"/>
    <cellStyle name="20% - Accent1 4 3 2 3" xfId="858" xr:uid="{00000000-0005-0000-0000-000051030000}"/>
    <cellStyle name="20% - Accent1 4 3 2 3 2" xfId="859" xr:uid="{00000000-0005-0000-0000-000052030000}"/>
    <cellStyle name="20% - Accent1 4 3 2 3 2 2" xfId="860" xr:uid="{00000000-0005-0000-0000-000053030000}"/>
    <cellStyle name="20% - Accent1 4 3 2 3 3" xfId="861" xr:uid="{00000000-0005-0000-0000-000054030000}"/>
    <cellStyle name="20% - Accent1 4 3 2 4" xfId="862" xr:uid="{00000000-0005-0000-0000-000055030000}"/>
    <cellStyle name="20% - Accent1 4 3 2 4 2" xfId="863" xr:uid="{00000000-0005-0000-0000-000056030000}"/>
    <cellStyle name="20% - Accent1 4 3 2 5" xfId="864" xr:uid="{00000000-0005-0000-0000-000057030000}"/>
    <cellStyle name="20% - Accent1 4 3 3" xfId="865" xr:uid="{00000000-0005-0000-0000-000058030000}"/>
    <cellStyle name="20% - Accent1 4 3 3 2" xfId="866" xr:uid="{00000000-0005-0000-0000-000059030000}"/>
    <cellStyle name="20% - Accent1 4 3 3 2 2" xfId="867" xr:uid="{00000000-0005-0000-0000-00005A030000}"/>
    <cellStyle name="20% - Accent1 4 3 3 2 2 2" xfId="868" xr:uid="{00000000-0005-0000-0000-00005B030000}"/>
    <cellStyle name="20% - Accent1 4 3 3 2 3" xfId="869" xr:uid="{00000000-0005-0000-0000-00005C030000}"/>
    <cellStyle name="20% - Accent1 4 3 3 3" xfId="870" xr:uid="{00000000-0005-0000-0000-00005D030000}"/>
    <cellStyle name="20% - Accent1 4 3 3 3 2" xfId="871" xr:uid="{00000000-0005-0000-0000-00005E030000}"/>
    <cellStyle name="20% - Accent1 4 3 3 4" xfId="872" xr:uid="{00000000-0005-0000-0000-00005F030000}"/>
    <cellStyle name="20% - Accent1 4 3 4" xfId="873" xr:uid="{00000000-0005-0000-0000-000060030000}"/>
    <cellStyle name="20% - Accent1 4 3 4 2" xfId="874" xr:uid="{00000000-0005-0000-0000-000061030000}"/>
    <cellStyle name="20% - Accent1 4 3 4 2 2" xfId="875" xr:uid="{00000000-0005-0000-0000-000062030000}"/>
    <cellStyle name="20% - Accent1 4 3 4 3" xfId="876" xr:uid="{00000000-0005-0000-0000-000063030000}"/>
    <cellStyle name="20% - Accent1 4 3 5" xfId="877" xr:uid="{00000000-0005-0000-0000-000064030000}"/>
    <cellStyle name="20% - Accent1 4 3 5 2" xfId="878" xr:uid="{00000000-0005-0000-0000-000065030000}"/>
    <cellStyle name="20% - Accent1 4 3 6" xfId="879" xr:uid="{00000000-0005-0000-0000-000066030000}"/>
    <cellStyle name="20% - Accent1 4 4" xfId="880" xr:uid="{00000000-0005-0000-0000-000067030000}"/>
    <cellStyle name="20% - Accent1 4 4 2" xfId="881" xr:uid="{00000000-0005-0000-0000-000068030000}"/>
    <cellStyle name="20% - Accent1 4 4 2 2" xfId="882" xr:uid="{00000000-0005-0000-0000-000069030000}"/>
    <cellStyle name="20% - Accent1 4 4 2 2 2" xfId="883" xr:uid="{00000000-0005-0000-0000-00006A030000}"/>
    <cellStyle name="20% - Accent1 4 4 2 2 2 2" xfId="884" xr:uid="{00000000-0005-0000-0000-00006B030000}"/>
    <cellStyle name="20% - Accent1 4 4 2 2 3" xfId="885" xr:uid="{00000000-0005-0000-0000-00006C030000}"/>
    <cellStyle name="20% - Accent1 4 4 2 3" xfId="886" xr:uid="{00000000-0005-0000-0000-00006D030000}"/>
    <cellStyle name="20% - Accent1 4 4 2 3 2" xfId="887" xr:uid="{00000000-0005-0000-0000-00006E030000}"/>
    <cellStyle name="20% - Accent1 4 4 2 4" xfId="888" xr:uid="{00000000-0005-0000-0000-00006F030000}"/>
    <cellStyle name="20% - Accent1 4 4 3" xfId="889" xr:uid="{00000000-0005-0000-0000-000070030000}"/>
    <cellStyle name="20% - Accent1 4 4 3 2" xfId="890" xr:uid="{00000000-0005-0000-0000-000071030000}"/>
    <cellStyle name="20% - Accent1 4 4 3 2 2" xfId="891" xr:uid="{00000000-0005-0000-0000-000072030000}"/>
    <cellStyle name="20% - Accent1 4 4 3 3" xfId="892" xr:uid="{00000000-0005-0000-0000-000073030000}"/>
    <cellStyle name="20% - Accent1 4 4 4" xfId="893" xr:uid="{00000000-0005-0000-0000-000074030000}"/>
    <cellStyle name="20% - Accent1 4 4 4 2" xfId="894" xr:uid="{00000000-0005-0000-0000-000075030000}"/>
    <cellStyle name="20% - Accent1 4 4 5" xfId="895" xr:uid="{00000000-0005-0000-0000-000076030000}"/>
    <cellStyle name="20% - Accent1 4 5" xfId="896" xr:uid="{00000000-0005-0000-0000-000077030000}"/>
    <cellStyle name="20% - Accent1 4 5 2" xfId="897" xr:uid="{00000000-0005-0000-0000-000078030000}"/>
    <cellStyle name="20% - Accent1 4 5 2 2" xfId="898" xr:uid="{00000000-0005-0000-0000-000079030000}"/>
    <cellStyle name="20% - Accent1 4 5 2 2 2" xfId="899" xr:uid="{00000000-0005-0000-0000-00007A030000}"/>
    <cellStyle name="20% - Accent1 4 5 2 3" xfId="900" xr:uid="{00000000-0005-0000-0000-00007B030000}"/>
    <cellStyle name="20% - Accent1 4 5 3" xfId="901" xr:uid="{00000000-0005-0000-0000-00007C030000}"/>
    <cellStyle name="20% - Accent1 4 5 3 2" xfId="902" xr:uid="{00000000-0005-0000-0000-00007D030000}"/>
    <cellStyle name="20% - Accent1 4 5 4" xfId="903" xr:uid="{00000000-0005-0000-0000-00007E030000}"/>
    <cellStyle name="20% - Accent1 4 6" xfId="904" xr:uid="{00000000-0005-0000-0000-00007F030000}"/>
    <cellStyle name="20% - Accent1 4 6 2" xfId="905" xr:uid="{00000000-0005-0000-0000-000080030000}"/>
    <cellStyle name="20% - Accent1 4 6 2 2" xfId="906" xr:uid="{00000000-0005-0000-0000-000081030000}"/>
    <cellStyle name="20% - Accent1 4 6 3" xfId="907" xr:uid="{00000000-0005-0000-0000-000082030000}"/>
    <cellStyle name="20% - Accent1 4 7" xfId="908" xr:uid="{00000000-0005-0000-0000-000083030000}"/>
    <cellStyle name="20% - Accent1 4 7 2" xfId="909" xr:uid="{00000000-0005-0000-0000-000084030000}"/>
    <cellStyle name="20% - Accent1 4 8" xfId="910" xr:uid="{00000000-0005-0000-0000-000085030000}"/>
    <cellStyle name="20% - Accent1 5" xfId="911" xr:uid="{00000000-0005-0000-0000-000086030000}"/>
    <cellStyle name="20% - Accent1 5 2" xfId="912" xr:uid="{00000000-0005-0000-0000-000087030000}"/>
    <cellStyle name="20% - Accent1 5 2 2" xfId="913" xr:uid="{00000000-0005-0000-0000-000088030000}"/>
    <cellStyle name="20% - Accent1 5 2 2 2" xfId="914" xr:uid="{00000000-0005-0000-0000-000089030000}"/>
    <cellStyle name="20% - Accent1 5 2 2 2 2" xfId="915" xr:uid="{00000000-0005-0000-0000-00008A030000}"/>
    <cellStyle name="20% - Accent1 5 2 2 2 2 2" xfId="916" xr:uid="{00000000-0005-0000-0000-00008B030000}"/>
    <cellStyle name="20% - Accent1 5 2 2 2 2 2 2" xfId="917" xr:uid="{00000000-0005-0000-0000-00008C030000}"/>
    <cellStyle name="20% - Accent1 5 2 2 2 2 3" xfId="918" xr:uid="{00000000-0005-0000-0000-00008D030000}"/>
    <cellStyle name="20% - Accent1 5 2 2 2 3" xfId="919" xr:uid="{00000000-0005-0000-0000-00008E030000}"/>
    <cellStyle name="20% - Accent1 5 2 2 2 3 2" xfId="920" xr:uid="{00000000-0005-0000-0000-00008F030000}"/>
    <cellStyle name="20% - Accent1 5 2 2 2 4" xfId="921" xr:uid="{00000000-0005-0000-0000-000090030000}"/>
    <cellStyle name="20% - Accent1 5 2 2 3" xfId="922" xr:uid="{00000000-0005-0000-0000-000091030000}"/>
    <cellStyle name="20% - Accent1 5 2 2 3 2" xfId="923" xr:uid="{00000000-0005-0000-0000-000092030000}"/>
    <cellStyle name="20% - Accent1 5 2 2 3 2 2" xfId="924" xr:uid="{00000000-0005-0000-0000-000093030000}"/>
    <cellStyle name="20% - Accent1 5 2 2 3 3" xfId="925" xr:uid="{00000000-0005-0000-0000-000094030000}"/>
    <cellStyle name="20% - Accent1 5 2 2 4" xfId="926" xr:uid="{00000000-0005-0000-0000-000095030000}"/>
    <cellStyle name="20% - Accent1 5 2 2 4 2" xfId="927" xr:uid="{00000000-0005-0000-0000-000096030000}"/>
    <cellStyle name="20% - Accent1 5 2 2 5" xfId="928" xr:uid="{00000000-0005-0000-0000-000097030000}"/>
    <cellStyle name="20% - Accent1 5 2 3" xfId="929" xr:uid="{00000000-0005-0000-0000-000098030000}"/>
    <cellStyle name="20% - Accent1 5 2 3 2" xfId="930" xr:uid="{00000000-0005-0000-0000-000099030000}"/>
    <cellStyle name="20% - Accent1 5 2 3 2 2" xfId="931" xr:uid="{00000000-0005-0000-0000-00009A030000}"/>
    <cellStyle name="20% - Accent1 5 2 3 2 2 2" xfId="932" xr:uid="{00000000-0005-0000-0000-00009B030000}"/>
    <cellStyle name="20% - Accent1 5 2 3 2 3" xfId="933" xr:uid="{00000000-0005-0000-0000-00009C030000}"/>
    <cellStyle name="20% - Accent1 5 2 3 3" xfId="934" xr:uid="{00000000-0005-0000-0000-00009D030000}"/>
    <cellStyle name="20% - Accent1 5 2 3 3 2" xfId="935" xr:uid="{00000000-0005-0000-0000-00009E030000}"/>
    <cellStyle name="20% - Accent1 5 2 3 4" xfId="936" xr:uid="{00000000-0005-0000-0000-00009F030000}"/>
    <cellStyle name="20% - Accent1 5 2 4" xfId="937" xr:uid="{00000000-0005-0000-0000-0000A0030000}"/>
    <cellStyle name="20% - Accent1 5 2 4 2" xfId="938" xr:uid="{00000000-0005-0000-0000-0000A1030000}"/>
    <cellStyle name="20% - Accent1 5 2 4 2 2" xfId="939" xr:uid="{00000000-0005-0000-0000-0000A2030000}"/>
    <cellStyle name="20% - Accent1 5 2 4 3" xfId="940" xr:uid="{00000000-0005-0000-0000-0000A3030000}"/>
    <cellStyle name="20% - Accent1 5 2 5" xfId="941" xr:uid="{00000000-0005-0000-0000-0000A4030000}"/>
    <cellStyle name="20% - Accent1 5 2 5 2" xfId="942" xr:uid="{00000000-0005-0000-0000-0000A5030000}"/>
    <cellStyle name="20% - Accent1 5 2 6" xfId="943" xr:uid="{00000000-0005-0000-0000-0000A6030000}"/>
    <cellStyle name="20% - Accent1 5 3" xfId="944" xr:uid="{00000000-0005-0000-0000-0000A7030000}"/>
    <cellStyle name="20% - Accent1 5 3 2" xfId="945" xr:uid="{00000000-0005-0000-0000-0000A8030000}"/>
    <cellStyle name="20% - Accent1 5 3 2 2" xfId="946" xr:uid="{00000000-0005-0000-0000-0000A9030000}"/>
    <cellStyle name="20% - Accent1 5 3 2 2 2" xfId="947" xr:uid="{00000000-0005-0000-0000-0000AA030000}"/>
    <cellStyle name="20% - Accent1 5 3 2 2 2 2" xfId="948" xr:uid="{00000000-0005-0000-0000-0000AB030000}"/>
    <cellStyle name="20% - Accent1 5 3 2 2 3" xfId="949" xr:uid="{00000000-0005-0000-0000-0000AC030000}"/>
    <cellStyle name="20% - Accent1 5 3 2 3" xfId="950" xr:uid="{00000000-0005-0000-0000-0000AD030000}"/>
    <cellStyle name="20% - Accent1 5 3 2 3 2" xfId="951" xr:uid="{00000000-0005-0000-0000-0000AE030000}"/>
    <cellStyle name="20% - Accent1 5 3 2 4" xfId="952" xr:uid="{00000000-0005-0000-0000-0000AF030000}"/>
    <cellStyle name="20% - Accent1 5 3 3" xfId="953" xr:uid="{00000000-0005-0000-0000-0000B0030000}"/>
    <cellStyle name="20% - Accent1 5 3 3 2" xfId="954" xr:uid="{00000000-0005-0000-0000-0000B1030000}"/>
    <cellStyle name="20% - Accent1 5 3 3 2 2" xfId="955" xr:uid="{00000000-0005-0000-0000-0000B2030000}"/>
    <cellStyle name="20% - Accent1 5 3 3 3" xfId="956" xr:uid="{00000000-0005-0000-0000-0000B3030000}"/>
    <cellStyle name="20% - Accent1 5 3 4" xfId="957" xr:uid="{00000000-0005-0000-0000-0000B4030000}"/>
    <cellStyle name="20% - Accent1 5 3 4 2" xfId="958" xr:uid="{00000000-0005-0000-0000-0000B5030000}"/>
    <cellStyle name="20% - Accent1 5 3 5" xfId="959" xr:uid="{00000000-0005-0000-0000-0000B6030000}"/>
    <cellStyle name="20% - Accent1 5 4" xfId="960" xr:uid="{00000000-0005-0000-0000-0000B7030000}"/>
    <cellStyle name="20% - Accent1 5 4 2" xfId="961" xr:uid="{00000000-0005-0000-0000-0000B8030000}"/>
    <cellStyle name="20% - Accent1 5 4 2 2" xfId="962" xr:uid="{00000000-0005-0000-0000-0000B9030000}"/>
    <cellStyle name="20% - Accent1 5 4 2 2 2" xfId="963" xr:uid="{00000000-0005-0000-0000-0000BA030000}"/>
    <cellStyle name="20% - Accent1 5 4 2 3" xfId="964" xr:uid="{00000000-0005-0000-0000-0000BB030000}"/>
    <cellStyle name="20% - Accent1 5 4 3" xfId="965" xr:uid="{00000000-0005-0000-0000-0000BC030000}"/>
    <cellStyle name="20% - Accent1 5 4 3 2" xfId="966" xr:uid="{00000000-0005-0000-0000-0000BD030000}"/>
    <cellStyle name="20% - Accent1 5 4 4" xfId="967" xr:uid="{00000000-0005-0000-0000-0000BE030000}"/>
    <cellStyle name="20% - Accent1 5 5" xfId="968" xr:uid="{00000000-0005-0000-0000-0000BF030000}"/>
    <cellStyle name="20% - Accent1 5 5 2" xfId="969" xr:uid="{00000000-0005-0000-0000-0000C0030000}"/>
    <cellStyle name="20% - Accent1 5 5 2 2" xfId="970" xr:uid="{00000000-0005-0000-0000-0000C1030000}"/>
    <cellStyle name="20% - Accent1 5 5 3" xfId="971" xr:uid="{00000000-0005-0000-0000-0000C2030000}"/>
    <cellStyle name="20% - Accent1 5 6" xfId="972" xr:uid="{00000000-0005-0000-0000-0000C3030000}"/>
    <cellStyle name="20% - Accent1 5 6 2" xfId="973" xr:uid="{00000000-0005-0000-0000-0000C4030000}"/>
    <cellStyle name="20% - Accent1 5 7" xfId="974" xr:uid="{00000000-0005-0000-0000-0000C5030000}"/>
    <cellStyle name="20% - Accent1 6" xfId="975" xr:uid="{00000000-0005-0000-0000-0000C6030000}"/>
    <cellStyle name="20% - Accent1 6 2" xfId="976" xr:uid="{00000000-0005-0000-0000-0000C7030000}"/>
    <cellStyle name="20% - Accent1 6 2 2" xfId="977" xr:uid="{00000000-0005-0000-0000-0000C8030000}"/>
    <cellStyle name="20% - Accent1 6 2 2 2" xfId="978" xr:uid="{00000000-0005-0000-0000-0000C9030000}"/>
    <cellStyle name="20% - Accent1 6 2 2 2 2" xfId="979" xr:uid="{00000000-0005-0000-0000-0000CA030000}"/>
    <cellStyle name="20% - Accent1 6 2 2 2 2 2" xfId="980" xr:uid="{00000000-0005-0000-0000-0000CB030000}"/>
    <cellStyle name="20% - Accent1 6 2 2 2 3" xfId="981" xr:uid="{00000000-0005-0000-0000-0000CC030000}"/>
    <cellStyle name="20% - Accent1 6 2 2 3" xfId="982" xr:uid="{00000000-0005-0000-0000-0000CD030000}"/>
    <cellStyle name="20% - Accent1 6 2 2 3 2" xfId="983" xr:uid="{00000000-0005-0000-0000-0000CE030000}"/>
    <cellStyle name="20% - Accent1 6 2 2 4" xfId="984" xr:uid="{00000000-0005-0000-0000-0000CF030000}"/>
    <cellStyle name="20% - Accent1 6 2 3" xfId="985" xr:uid="{00000000-0005-0000-0000-0000D0030000}"/>
    <cellStyle name="20% - Accent1 6 2 3 2" xfId="986" xr:uid="{00000000-0005-0000-0000-0000D1030000}"/>
    <cellStyle name="20% - Accent1 6 2 3 2 2" xfId="987" xr:uid="{00000000-0005-0000-0000-0000D2030000}"/>
    <cellStyle name="20% - Accent1 6 2 3 3" xfId="988" xr:uid="{00000000-0005-0000-0000-0000D3030000}"/>
    <cellStyle name="20% - Accent1 6 2 4" xfId="989" xr:uid="{00000000-0005-0000-0000-0000D4030000}"/>
    <cellStyle name="20% - Accent1 6 2 4 2" xfId="990" xr:uid="{00000000-0005-0000-0000-0000D5030000}"/>
    <cellStyle name="20% - Accent1 6 2 5" xfId="991" xr:uid="{00000000-0005-0000-0000-0000D6030000}"/>
    <cellStyle name="20% - Accent1 6 3" xfId="992" xr:uid="{00000000-0005-0000-0000-0000D7030000}"/>
    <cellStyle name="20% - Accent1 6 3 2" xfId="993" xr:uid="{00000000-0005-0000-0000-0000D8030000}"/>
    <cellStyle name="20% - Accent1 6 3 2 2" xfId="994" xr:uid="{00000000-0005-0000-0000-0000D9030000}"/>
    <cellStyle name="20% - Accent1 6 3 2 2 2" xfId="995" xr:uid="{00000000-0005-0000-0000-0000DA030000}"/>
    <cellStyle name="20% - Accent1 6 3 2 3" xfId="996" xr:uid="{00000000-0005-0000-0000-0000DB030000}"/>
    <cellStyle name="20% - Accent1 6 3 3" xfId="997" xr:uid="{00000000-0005-0000-0000-0000DC030000}"/>
    <cellStyle name="20% - Accent1 6 3 3 2" xfId="998" xr:uid="{00000000-0005-0000-0000-0000DD030000}"/>
    <cellStyle name="20% - Accent1 6 3 4" xfId="999" xr:uid="{00000000-0005-0000-0000-0000DE030000}"/>
    <cellStyle name="20% - Accent1 6 4" xfId="1000" xr:uid="{00000000-0005-0000-0000-0000DF030000}"/>
    <cellStyle name="20% - Accent1 6 4 2" xfId="1001" xr:uid="{00000000-0005-0000-0000-0000E0030000}"/>
    <cellStyle name="20% - Accent1 6 4 2 2" xfId="1002" xr:uid="{00000000-0005-0000-0000-0000E1030000}"/>
    <cellStyle name="20% - Accent1 6 4 3" xfId="1003" xr:uid="{00000000-0005-0000-0000-0000E2030000}"/>
    <cellStyle name="20% - Accent1 6 5" xfId="1004" xr:uid="{00000000-0005-0000-0000-0000E3030000}"/>
    <cellStyle name="20% - Accent1 6 5 2" xfId="1005" xr:uid="{00000000-0005-0000-0000-0000E4030000}"/>
    <cellStyle name="20% - Accent1 6 6" xfId="1006" xr:uid="{00000000-0005-0000-0000-0000E5030000}"/>
    <cellStyle name="20% - Accent1 7" xfId="1007" xr:uid="{00000000-0005-0000-0000-0000E6030000}"/>
    <cellStyle name="20% - Accent1 7 2" xfId="1008" xr:uid="{00000000-0005-0000-0000-0000E7030000}"/>
    <cellStyle name="20% - Accent1 7 2 2" xfId="1009" xr:uid="{00000000-0005-0000-0000-0000E8030000}"/>
    <cellStyle name="20% - Accent1 7 2 2 2" xfId="1010" xr:uid="{00000000-0005-0000-0000-0000E9030000}"/>
    <cellStyle name="20% - Accent1 7 2 2 2 2" xfId="1011" xr:uid="{00000000-0005-0000-0000-0000EA030000}"/>
    <cellStyle name="20% - Accent1 7 2 2 3" xfId="1012" xr:uid="{00000000-0005-0000-0000-0000EB030000}"/>
    <cellStyle name="20% - Accent1 7 2 3" xfId="1013" xr:uid="{00000000-0005-0000-0000-0000EC030000}"/>
    <cellStyle name="20% - Accent1 7 2 3 2" xfId="1014" xr:uid="{00000000-0005-0000-0000-0000ED030000}"/>
    <cellStyle name="20% - Accent1 7 2 4" xfId="1015" xr:uid="{00000000-0005-0000-0000-0000EE030000}"/>
    <cellStyle name="20% - Accent1 7 3" xfId="1016" xr:uid="{00000000-0005-0000-0000-0000EF030000}"/>
    <cellStyle name="20% - Accent1 7 3 2" xfId="1017" xr:uid="{00000000-0005-0000-0000-0000F0030000}"/>
    <cellStyle name="20% - Accent1 7 3 2 2" xfId="1018" xr:uid="{00000000-0005-0000-0000-0000F1030000}"/>
    <cellStyle name="20% - Accent1 7 3 3" xfId="1019" xr:uid="{00000000-0005-0000-0000-0000F2030000}"/>
    <cellStyle name="20% - Accent1 7 4" xfId="1020" xr:uid="{00000000-0005-0000-0000-0000F3030000}"/>
    <cellStyle name="20% - Accent1 7 4 2" xfId="1021" xr:uid="{00000000-0005-0000-0000-0000F4030000}"/>
    <cellStyle name="20% - Accent1 7 5" xfId="1022" xr:uid="{00000000-0005-0000-0000-0000F5030000}"/>
    <cellStyle name="20% - Accent1 8" xfId="1023" xr:uid="{00000000-0005-0000-0000-0000F6030000}"/>
    <cellStyle name="20% - Accent1 8 2" xfId="1024" xr:uid="{00000000-0005-0000-0000-0000F7030000}"/>
    <cellStyle name="20% - Accent1 8 2 2" xfId="1025" xr:uid="{00000000-0005-0000-0000-0000F8030000}"/>
    <cellStyle name="20% - Accent1 8 2 2 2" xfId="1026" xr:uid="{00000000-0005-0000-0000-0000F9030000}"/>
    <cellStyle name="20% - Accent1 8 2 3" xfId="1027" xr:uid="{00000000-0005-0000-0000-0000FA030000}"/>
    <cellStyle name="20% - Accent1 8 3" xfId="1028" xr:uid="{00000000-0005-0000-0000-0000FB030000}"/>
    <cellStyle name="20% - Accent1 8 3 2" xfId="1029" xr:uid="{00000000-0005-0000-0000-0000FC030000}"/>
    <cellStyle name="20% - Accent1 8 4" xfId="1030" xr:uid="{00000000-0005-0000-0000-0000FD030000}"/>
    <cellStyle name="20% - Accent1 9" xfId="1031" xr:uid="{00000000-0005-0000-0000-0000FE030000}"/>
    <cellStyle name="20% - Accent1 9 2" xfId="1032" xr:uid="{00000000-0005-0000-0000-0000FF030000}"/>
    <cellStyle name="20% - Accent1 9 2 2" xfId="1033" xr:uid="{00000000-0005-0000-0000-000000040000}"/>
    <cellStyle name="20% - Accent1 9 3" xfId="1034" xr:uid="{00000000-0005-0000-0000-000001040000}"/>
    <cellStyle name="20% - Accent2 10" xfId="1035" xr:uid="{00000000-0005-0000-0000-000002040000}"/>
    <cellStyle name="20% - Accent2 10 2" xfId="1036" xr:uid="{00000000-0005-0000-0000-000003040000}"/>
    <cellStyle name="20% - Accent2 11" xfId="1037" xr:uid="{00000000-0005-0000-0000-000004040000}"/>
    <cellStyle name="20% - Accent2 12" xfId="1038" xr:uid="{00000000-0005-0000-0000-000005040000}"/>
    <cellStyle name="20% - Accent2 13" xfId="1039" xr:uid="{00000000-0005-0000-0000-000006040000}"/>
    <cellStyle name="20% - Accent2 14" xfId="1040" xr:uid="{00000000-0005-0000-0000-000007040000}"/>
    <cellStyle name="20% - Accent2 2" xfId="1041" xr:uid="{00000000-0005-0000-0000-000008040000}"/>
    <cellStyle name="20% - Accent2 2 10" xfId="1042" xr:uid="{00000000-0005-0000-0000-000009040000}"/>
    <cellStyle name="20% - Accent2 2 2" xfId="1043" xr:uid="{00000000-0005-0000-0000-00000A040000}"/>
    <cellStyle name="20% - Accent2 2 2 2" xfId="1044" xr:uid="{00000000-0005-0000-0000-00000B040000}"/>
    <cellStyle name="20% - Accent2 2 2 2 2" xfId="1045" xr:uid="{00000000-0005-0000-0000-00000C040000}"/>
    <cellStyle name="20% - Accent2 2 2 2 2 2" xfId="1046" xr:uid="{00000000-0005-0000-0000-00000D040000}"/>
    <cellStyle name="20% - Accent2 2 2 2 2 2 2" xfId="1047" xr:uid="{00000000-0005-0000-0000-00000E040000}"/>
    <cellStyle name="20% - Accent2 2 2 2 2 2 2 2" xfId="1048" xr:uid="{00000000-0005-0000-0000-00000F040000}"/>
    <cellStyle name="20% - Accent2 2 2 2 2 2 2 2 2" xfId="1049" xr:uid="{00000000-0005-0000-0000-000010040000}"/>
    <cellStyle name="20% - Accent2 2 2 2 2 2 2 2 2 2" xfId="1050" xr:uid="{00000000-0005-0000-0000-000011040000}"/>
    <cellStyle name="20% - Accent2 2 2 2 2 2 2 2 2 2 2" xfId="1051" xr:uid="{00000000-0005-0000-0000-000012040000}"/>
    <cellStyle name="20% - Accent2 2 2 2 2 2 2 2 2 3" xfId="1052" xr:uid="{00000000-0005-0000-0000-000013040000}"/>
    <cellStyle name="20% - Accent2 2 2 2 2 2 2 2 3" xfId="1053" xr:uid="{00000000-0005-0000-0000-000014040000}"/>
    <cellStyle name="20% - Accent2 2 2 2 2 2 2 2 3 2" xfId="1054" xr:uid="{00000000-0005-0000-0000-000015040000}"/>
    <cellStyle name="20% - Accent2 2 2 2 2 2 2 2 4" xfId="1055" xr:uid="{00000000-0005-0000-0000-000016040000}"/>
    <cellStyle name="20% - Accent2 2 2 2 2 2 2 3" xfId="1056" xr:uid="{00000000-0005-0000-0000-000017040000}"/>
    <cellStyle name="20% - Accent2 2 2 2 2 2 2 3 2" xfId="1057" xr:uid="{00000000-0005-0000-0000-000018040000}"/>
    <cellStyle name="20% - Accent2 2 2 2 2 2 2 3 2 2" xfId="1058" xr:uid="{00000000-0005-0000-0000-000019040000}"/>
    <cellStyle name="20% - Accent2 2 2 2 2 2 2 3 3" xfId="1059" xr:uid="{00000000-0005-0000-0000-00001A040000}"/>
    <cellStyle name="20% - Accent2 2 2 2 2 2 2 4" xfId="1060" xr:uid="{00000000-0005-0000-0000-00001B040000}"/>
    <cellStyle name="20% - Accent2 2 2 2 2 2 2 4 2" xfId="1061" xr:uid="{00000000-0005-0000-0000-00001C040000}"/>
    <cellStyle name="20% - Accent2 2 2 2 2 2 2 5" xfId="1062" xr:uid="{00000000-0005-0000-0000-00001D040000}"/>
    <cellStyle name="20% - Accent2 2 2 2 2 2 3" xfId="1063" xr:uid="{00000000-0005-0000-0000-00001E040000}"/>
    <cellStyle name="20% - Accent2 2 2 2 2 2 3 2" xfId="1064" xr:uid="{00000000-0005-0000-0000-00001F040000}"/>
    <cellStyle name="20% - Accent2 2 2 2 2 2 3 2 2" xfId="1065" xr:uid="{00000000-0005-0000-0000-000020040000}"/>
    <cellStyle name="20% - Accent2 2 2 2 2 2 3 2 2 2" xfId="1066" xr:uid="{00000000-0005-0000-0000-000021040000}"/>
    <cellStyle name="20% - Accent2 2 2 2 2 2 3 2 3" xfId="1067" xr:uid="{00000000-0005-0000-0000-000022040000}"/>
    <cellStyle name="20% - Accent2 2 2 2 2 2 3 3" xfId="1068" xr:uid="{00000000-0005-0000-0000-000023040000}"/>
    <cellStyle name="20% - Accent2 2 2 2 2 2 3 3 2" xfId="1069" xr:uid="{00000000-0005-0000-0000-000024040000}"/>
    <cellStyle name="20% - Accent2 2 2 2 2 2 3 4" xfId="1070" xr:uid="{00000000-0005-0000-0000-000025040000}"/>
    <cellStyle name="20% - Accent2 2 2 2 2 2 4" xfId="1071" xr:uid="{00000000-0005-0000-0000-000026040000}"/>
    <cellStyle name="20% - Accent2 2 2 2 2 2 4 2" xfId="1072" xr:uid="{00000000-0005-0000-0000-000027040000}"/>
    <cellStyle name="20% - Accent2 2 2 2 2 2 4 2 2" xfId="1073" xr:uid="{00000000-0005-0000-0000-000028040000}"/>
    <cellStyle name="20% - Accent2 2 2 2 2 2 4 3" xfId="1074" xr:uid="{00000000-0005-0000-0000-000029040000}"/>
    <cellStyle name="20% - Accent2 2 2 2 2 2 5" xfId="1075" xr:uid="{00000000-0005-0000-0000-00002A040000}"/>
    <cellStyle name="20% - Accent2 2 2 2 2 2 5 2" xfId="1076" xr:uid="{00000000-0005-0000-0000-00002B040000}"/>
    <cellStyle name="20% - Accent2 2 2 2 2 2 6" xfId="1077" xr:uid="{00000000-0005-0000-0000-00002C040000}"/>
    <cellStyle name="20% - Accent2 2 2 2 2 3" xfId="1078" xr:uid="{00000000-0005-0000-0000-00002D040000}"/>
    <cellStyle name="20% - Accent2 2 2 2 2 3 2" xfId="1079" xr:uid="{00000000-0005-0000-0000-00002E040000}"/>
    <cellStyle name="20% - Accent2 2 2 2 2 3 2 2" xfId="1080" xr:uid="{00000000-0005-0000-0000-00002F040000}"/>
    <cellStyle name="20% - Accent2 2 2 2 2 3 2 2 2" xfId="1081" xr:uid="{00000000-0005-0000-0000-000030040000}"/>
    <cellStyle name="20% - Accent2 2 2 2 2 3 2 2 2 2" xfId="1082" xr:uid="{00000000-0005-0000-0000-000031040000}"/>
    <cellStyle name="20% - Accent2 2 2 2 2 3 2 2 3" xfId="1083" xr:uid="{00000000-0005-0000-0000-000032040000}"/>
    <cellStyle name="20% - Accent2 2 2 2 2 3 2 3" xfId="1084" xr:uid="{00000000-0005-0000-0000-000033040000}"/>
    <cellStyle name="20% - Accent2 2 2 2 2 3 2 3 2" xfId="1085" xr:uid="{00000000-0005-0000-0000-000034040000}"/>
    <cellStyle name="20% - Accent2 2 2 2 2 3 2 4" xfId="1086" xr:uid="{00000000-0005-0000-0000-000035040000}"/>
    <cellStyle name="20% - Accent2 2 2 2 2 3 3" xfId="1087" xr:uid="{00000000-0005-0000-0000-000036040000}"/>
    <cellStyle name="20% - Accent2 2 2 2 2 3 3 2" xfId="1088" xr:uid="{00000000-0005-0000-0000-000037040000}"/>
    <cellStyle name="20% - Accent2 2 2 2 2 3 3 2 2" xfId="1089" xr:uid="{00000000-0005-0000-0000-000038040000}"/>
    <cellStyle name="20% - Accent2 2 2 2 2 3 3 3" xfId="1090" xr:uid="{00000000-0005-0000-0000-000039040000}"/>
    <cellStyle name="20% - Accent2 2 2 2 2 3 4" xfId="1091" xr:uid="{00000000-0005-0000-0000-00003A040000}"/>
    <cellStyle name="20% - Accent2 2 2 2 2 3 4 2" xfId="1092" xr:uid="{00000000-0005-0000-0000-00003B040000}"/>
    <cellStyle name="20% - Accent2 2 2 2 2 3 5" xfId="1093" xr:uid="{00000000-0005-0000-0000-00003C040000}"/>
    <cellStyle name="20% - Accent2 2 2 2 2 4" xfId="1094" xr:uid="{00000000-0005-0000-0000-00003D040000}"/>
    <cellStyle name="20% - Accent2 2 2 2 2 4 2" xfId="1095" xr:uid="{00000000-0005-0000-0000-00003E040000}"/>
    <cellStyle name="20% - Accent2 2 2 2 2 4 2 2" xfId="1096" xr:uid="{00000000-0005-0000-0000-00003F040000}"/>
    <cellStyle name="20% - Accent2 2 2 2 2 4 2 2 2" xfId="1097" xr:uid="{00000000-0005-0000-0000-000040040000}"/>
    <cellStyle name="20% - Accent2 2 2 2 2 4 2 3" xfId="1098" xr:uid="{00000000-0005-0000-0000-000041040000}"/>
    <cellStyle name="20% - Accent2 2 2 2 2 4 3" xfId="1099" xr:uid="{00000000-0005-0000-0000-000042040000}"/>
    <cellStyle name="20% - Accent2 2 2 2 2 4 3 2" xfId="1100" xr:uid="{00000000-0005-0000-0000-000043040000}"/>
    <cellStyle name="20% - Accent2 2 2 2 2 4 4" xfId="1101" xr:uid="{00000000-0005-0000-0000-000044040000}"/>
    <cellStyle name="20% - Accent2 2 2 2 2 5" xfId="1102" xr:uid="{00000000-0005-0000-0000-000045040000}"/>
    <cellStyle name="20% - Accent2 2 2 2 2 5 2" xfId="1103" xr:uid="{00000000-0005-0000-0000-000046040000}"/>
    <cellStyle name="20% - Accent2 2 2 2 2 5 2 2" xfId="1104" xr:uid="{00000000-0005-0000-0000-000047040000}"/>
    <cellStyle name="20% - Accent2 2 2 2 2 5 3" xfId="1105" xr:uid="{00000000-0005-0000-0000-000048040000}"/>
    <cellStyle name="20% - Accent2 2 2 2 2 6" xfId="1106" xr:uid="{00000000-0005-0000-0000-000049040000}"/>
    <cellStyle name="20% - Accent2 2 2 2 2 6 2" xfId="1107" xr:uid="{00000000-0005-0000-0000-00004A040000}"/>
    <cellStyle name="20% - Accent2 2 2 2 2 7" xfId="1108" xr:uid="{00000000-0005-0000-0000-00004B040000}"/>
    <cellStyle name="20% - Accent2 2 2 2 3" xfId="1109" xr:uid="{00000000-0005-0000-0000-00004C040000}"/>
    <cellStyle name="20% - Accent2 2 2 2 3 2" xfId="1110" xr:uid="{00000000-0005-0000-0000-00004D040000}"/>
    <cellStyle name="20% - Accent2 2 2 2 3 2 2" xfId="1111" xr:uid="{00000000-0005-0000-0000-00004E040000}"/>
    <cellStyle name="20% - Accent2 2 2 2 3 2 2 2" xfId="1112" xr:uid="{00000000-0005-0000-0000-00004F040000}"/>
    <cellStyle name="20% - Accent2 2 2 2 3 2 2 2 2" xfId="1113" xr:uid="{00000000-0005-0000-0000-000050040000}"/>
    <cellStyle name="20% - Accent2 2 2 2 3 2 2 2 2 2" xfId="1114" xr:uid="{00000000-0005-0000-0000-000051040000}"/>
    <cellStyle name="20% - Accent2 2 2 2 3 2 2 2 3" xfId="1115" xr:uid="{00000000-0005-0000-0000-000052040000}"/>
    <cellStyle name="20% - Accent2 2 2 2 3 2 2 3" xfId="1116" xr:uid="{00000000-0005-0000-0000-000053040000}"/>
    <cellStyle name="20% - Accent2 2 2 2 3 2 2 3 2" xfId="1117" xr:uid="{00000000-0005-0000-0000-000054040000}"/>
    <cellStyle name="20% - Accent2 2 2 2 3 2 2 4" xfId="1118" xr:uid="{00000000-0005-0000-0000-000055040000}"/>
    <cellStyle name="20% - Accent2 2 2 2 3 2 3" xfId="1119" xr:uid="{00000000-0005-0000-0000-000056040000}"/>
    <cellStyle name="20% - Accent2 2 2 2 3 2 3 2" xfId="1120" xr:uid="{00000000-0005-0000-0000-000057040000}"/>
    <cellStyle name="20% - Accent2 2 2 2 3 2 3 2 2" xfId="1121" xr:uid="{00000000-0005-0000-0000-000058040000}"/>
    <cellStyle name="20% - Accent2 2 2 2 3 2 3 3" xfId="1122" xr:uid="{00000000-0005-0000-0000-000059040000}"/>
    <cellStyle name="20% - Accent2 2 2 2 3 2 4" xfId="1123" xr:uid="{00000000-0005-0000-0000-00005A040000}"/>
    <cellStyle name="20% - Accent2 2 2 2 3 2 4 2" xfId="1124" xr:uid="{00000000-0005-0000-0000-00005B040000}"/>
    <cellStyle name="20% - Accent2 2 2 2 3 2 5" xfId="1125" xr:uid="{00000000-0005-0000-0000-00005C040000}"/>
    <cellStyle name="20% - Accent2 2 2 2 3 3" xfId="1126" xr:uid="{00000000-0005-0000-0000-00005D040000}"/>
    <cellStyle name="20% - Accent2 2 2 2 3 3 2" xfId="1127" xr:uid="{00000000-0005-0000-0000-00005E040000}"/>
    <cellStyle name="20% - Accent2 2 2 2 3 3 2 2" xfId="1128" xr:uid="{00000000-0005-0000-0000-00005F040000}"/>
    <cellStyle name="20% - Accent2 2 2 2 3 3 2 2 2" xfId="1129" xr:uid="{00000000-0005-0000-0000-000060040000}"/>
    <cellStyle name="20% - Accent2 2 2 2 3 3 2 3" xfId="1130" xr:uid="{00000000-0005-0000-0000-000061040000}"/>
    <cellStyle name="20% - Accent2 2 2 2 3 3 3" xfId="1131" xr:uid="{00000000-0005-0000-0000-000062040000}"/>
    <cellStyle name="20% - Accent2 2 2 2 3 3 3 2" xfId="1132" xr:uid="{00000000-0005-0000-0000-000063040000}"/>
    <cellStyle name="20% - Accent2 2 2 2 3 3 4" xfId="1133" xr:uid="{00000000-0005-0000-0000-000064040000}"/>
    <cellStyle name="20% - Accent2 2 2 2 3 4" xfId="1134" xr:uid="{00000000-0005-0000-0000-000065040000}"/>
    <cellStyle name="20% - Accent2 2 2 2 3 4 2" xfId="1135" xr:uid="{00000000-0005-0000-0000-000066040000}"/>
    <cellStyle name="20% - Accent2 2 2 2 3 4 2 2" xfId="1136" xr:uid="{00000000-0005-0000-0000-000067040000}"/>
    <cellStyle name="20% - Accent2 2 2 2 3 4 3" xfId="1137" xr:uid="{00000000-0005-0000-0000-000068040000}"/>
    <cellStyle name="20% - Accent2 2 2 2 3 5" xfId="1138" xr:uid="{00000000-0005-0000-0000-000069040000}"/>
    <cellStyle name="20% - Accent2 2 2 2 3 5 2" xfId="1139" xr:uid="{00000000-0005-0000-0000-00006A040000}"/>
    <cellStyle name="20% - Accent2 2 2 2 3 6" xfId="1140" xr:uid="{00000000-0005-0000-0000-00006B040000}"/>
    <cellStyle name="20% - Accent2 2 2 2 4" xfId="1141" xr:uid="{00000000-0005-0000-0000-00006C040000}"/>
    <cellStyle name="20% - Accent2 2 2 2 4 2" xfId="1142" xr:uid="{00000000-0005-0000-0000-00006D040000}"/>
    <cellStyle name="20% - Accent2 2 2 2 4 2 2" xfId="1143" xr:uid="{00000000-0005-0000-0000-00006E040000}"/>
    <cellStyle name="20% - Accent2 2 2 2 4 2 2 2" xfId="1144" xr:uid="{00000000-0005-0000-0000-00006F040000}"/>
    <cellStyle name="20% - Accent2 2 2 2 4 2 2 2 2" xfId="1145" xr:uid="{00000000-0005-0000-0000-000070040000}"/>
    <cellStyle name="20% - Accent2 2 2 2 4 2 2 3" xfId="1146" xr:uid="{00000000-0005-0000-0000-000071040000}"/>
    <cellStyle name="20% - Accent2 2 2 2 4 2 3" xfId="1147" xr:uid="{00000000-0005-0000-0000-000072040000}"/>
    <cellStyle name="20% - Accent2 2 2 2 4 2 3 2" xfId="1148" xr:uid="{00000000-0005-0000-0000-000073040000}"/>
    <cellStyle name="20% - Accent2 2 2 2 4 2 4" xfId="1149" xr:uid="{00000000-0005-0000-0000-000074040000}"/>
    <cellStyle name="20% - Accent2 2 2 2 4 3" xfId="1150" xr:uid="{00000000-0005-0000-0000-000075040000}"/>
    <cellStyle name="20% - Accent2 2 2 2 4 3 2" xfId="1151" xr:uid="{00000000-0005-0000-0000-000076040000}"/>
    <cellStyle name="20% - Accent2 2 2 2 4 3 2 2" xfId="1152" xr:uid="{00000000-0005-0000-0000-000077040000}"/>
    <cellStyle name="20% - Accent2 2 2 2 4 3 3" xfId="1153" xr:uid="{00000000-0005-0000-0000-000078040000}"/>
    <cellStyle name="20% - Accent2 2 2 2 4 4" xfId="1154" xr:uid="{00000000-0005-0000-0000-000079040000}"/>
    <cellStyle name="20% - Accent2 2 2 2 4 4 2" xfId="1155" xr:uid="{00000000-0005-0000-0000-00007A040000}"/>
    <cellStyle name="20% - Accent2 2 2 2 4 5" xfId="1156" xr:uid="{00000000-0005-0000-0000-00007B040000}"/>
    <cellStyle name="20% - Accent2 2 2 2 5" xfId="1157" xr:uid="{00000000-0005-0000-0000-00007C040000}"/>
    <cellStyle name="20% - Accent2 2 2 2 5 2" xfId="1158" xr:uid="{00000000-0005-0000-0000-00007D040000}"/>
    <cellStyle name="20% - Accent2 2 2 2 5 2 2" xfId="1159" xr:uid="{00000000-0005-0000-0000-00007E040000}"/>
    <cellStyle name="20% - Accent2 2 2 2 5 2 2 2" xfId="1160" xr:uid="{00000000-0005-0000-0000-00007F040000}"/>
    <cellStyle name="20% - Accent2 2 2 2 5 2 3" xfId="1161" xr:uid="{00000000-0005-0000-0000-000080040000}"/>
    <cellStyle name="20% - Accent2 2 2 2 5 3" xfId="1162" xr:uid="{00000000-0005-0000-0000-000081040000}"/>
    <cellStyle name="20% - Accent2 2 2 2 5 3 2" xfId="1163" xr:uid="{00000000-0005-0000-0000-000082040000}"/>
    <cellStyle name="20% - Accent2 2 2 2 5 4" xfId="1164" xr:uid="{00000000-0005-0000-0000-000083040000}"/>
    <cellStyle name="20% - Accent2 2 2 2 6" xfId="1165" xr:uid="{00000000-0005-0000-0000-000084040000}"/>
    <cellStyle name="20% - Accent2 2 2 2 6 2" xfId="1166" xr:uid="{00000000-0005-0000-0000-000085040000}"/>
    <cellStyle name="20% - Accent2 2 2 2 6 2 2" xfId="1167" xr:uid="{00000000-0005-0000-0000-000086040000}"/>
    <cellStyle name="20% - Accent2 2 2 2 6 3" xfId="1168" xr:uid="{00000000-0005-0000-0000-000087040000}"/>
    <cellStyle name="20% - Accent2 2 2 2 7" xfId="1169" xr:uid="{00000000-0005-0000-0000-000088040000}"/>
    <cellStyle name="20% - Accent2 2 2 2 7 2" xfId="1170" xr:uid="{00000000-0005-0000-0000-000089040000}"/>
    <cellStyle name="20% - Accent2 2 2 2 8" xfId="1171" xr:uid="{00000000-0005-0000-0000-00008A040000}"/>
    <cellStyle name="20% - Accent2 2 2 3" xfId="1172" xr:uid="{00000000-0005-0000-0000-00008B040000}"/>
    <cellStyle name="20% - Accent2 2 2 3 2" xfId="1173" xr:uid="{00000000-0005-0000-0000-00008C040000}"/>
    <cellStyle name="20% - Accent2 2 2 3 2 2" xfId="1174" xr:uid="{00000000-0005-0000-0000-00008D040000}"/>
    <cellStyle name="20% - Accent2 2 2 3 2 2 2" xfId="1175" xr:uid="{00000000-0005-0000-0000-00008E040000}"/>
    <cellStyle name="20% - Accent2 2 2 3 2 2 2 2" xfId="1176" xr:uid="{00000000-0005-0000-0000-00008F040000}"/>
    <cellStyle name="20% - Accent2 2 2 3 2 2 2 2 2" xfId="1177" xr:uid="{00000000-0005-0000-0000-000090040000}"/>
    <cellStyle name="20% - Accent2 2 2 3 2 2 2 2 2 2" xfId="1178" xr:uid="{00000000-0005-0000-0000-000091040000}"/>
    <cellStyle name="20% - Accent2 2 2 3 2 2 2 2 3" xfId="1179" xr:uid="{00000000-0005-0000-0000-000092040000}"/>
    <cellStyle name="20% - Accent2 2 2 3 2 2 2 3" xfId="1180" xr:uid="{00000000-0005-0000-0000-000093040000}"/>
    <cellStyle name="20% - Accent2 2 2 3 2 2 2 3 2" xfId="1181" xr:uid="{00000000-0005-0000-0000-000094040000}"/>
    <cellStyle name="20% - Accent2 2 2 3 2 2 2 4" xfId="1182" xr:uid="{00000000-0005-0000-0000-000095040000}"/>
    <cellStyle name="20% - Accent2 2 2 3 2 2 3" xfId="1183" xr:uid="{00000000-0005-0000-0000-000096040000}"/>
    <cellStyle name="20% - Accent2 2 2 3 2 2 3 2" xfId="1184" xr:uid="{00000000-0005-0000-0000-000097040000}"/>
    <cellStyle name="20% - Accent2 2 2 3 2 2 3 2 2" xfId="1185" xr:uid="{00000000-0005-0000-0000-000098040000}"/>
    <cellStyle name="20% - Accent2 2 2 3 2 2 3 3" xfId="1186" xr:uid="{00000000-0005-0000-0000-000099040000}"/>
    <cellStyle name="20% - Accent2 2 2 3 2 2 4" xfId="1187" xr:uid="{00000000-0005-0000-0000-00009A040000}"/>
    <cellStyle name="20% - Accent2 2 2 3 2 2 4 2" xfId="1188" xr:uid="{00000000-0005-0000-0000-00009B040000}"/>
    <cellStyle name="20% - Accent2 2 2 3 2 2 5" xfId="1189" xr:uid="{00000000-0005-0000-0000-00009C040000}"/>
    <cellStyle name="20% - Accent2 2 2 3 2 3" xfId="1190" xr:uid="{00000000-0005-0000-0000-00009D040000}"/>
    <cellStyle name="20% - Accent2 2 2 3 2 3 2" xfId="1191" xr:uid="{00000000-0005-0000-0000-00009E040000}"/>
    <cellStyle name="20% - Accent2 2 2 3 2 3 2 2" xfId="1192" xr:uid="{00000000-0005-0000-0000-00009F040000}"/>
    <cellStyle name="20% - Accent2 2 2 3 2 3 2 2 2" xfId="1193" xr:uid="{00000000-0005-0000-0000-0000A0040000}"/>
    <cellStyle name="20% - Accent2 2 2 3 2 3 2 3" xfId="1194" xr:uid="{00000000-0005-0000-0000-0000A1040000}"/>
    <cellStyle name="20% - Accent2 2 2 3 2 3 3" xfId="1195" xr:uid="{00000000-0005-0000-0000-0000A2040000}"/>
    <cellStyle name="20% - Accent2 2 2 3 2 3 3 2" xfId="1196" xr:uid="{00000000-0005-0000-0000-0000A3040000}"/>
    <cellStyle name="20% - Accent2 2 2 3 2 3 4" xfId="1197" xr:uid="{00000000-0005-0000-0000-0000A4040000}"/>
    <cellStyle name="20% - Accent2 2 2 3 2 4" xfId="1198" xr:uid="{00000000-0005-0000-0000-0000A5040000}"/>
    <cellStyle name="20% - Accent2 2 2 3 2 4 2" xfId="1199" xr:uid="{00000000-0005-0000-0000-0000A6040000}"/>
    <cellStyle name="20% - Accent2 2 2 3 2 4 2 2" xfId="1200" xr:uid="{00000000-0005-0000-0000-0000A7040000}"/>
    <cellStyle name="20% - Accent2 2 2 3 2 4 3" xfId="1201" xr:uid="{00000000-0005-0000-0000-0000A8040000}"/>
    <cellStyle name="20% - Accent2 2 2 3 2 5" xfId="1202" xr:uid="{00000000-0005-0000-0000-0000A9040000}"/>
    <cellStyle name="20% - Accent2 2 2 3 2 5 2" xfId="1203" xr:uid="{00000000-0005-0000-0000-0000AA040000}"/>
    <cellStyle name="20% - Accent2 2 2 3 2 6" xfId="1204" xr:uid="{00000000-0005-0000-0000-0000AB040000}"/>
    <cellStyle name="20% - Accent2 2 2 3 3" xfId="1205" xr:uid="{00000000-0005-0000-0000-0000AC040000}"/>
    <cellStyle name="20% - Accent2 2 2 3 3 2" xfId="1206" xr:uid="{00000000-0005-0000-0000-0000AD040000}"/>
    <cellStyle name="20% - Accent2 2 2 3 3 2 2" xfId="1207" xr:uid="{00000000-0005-0000-0000-0000AE040000}"/>
    <cellStyle name="20% - Accent2 2 2 3 3 2 2 2" xfId="1208" xr:uid="{00000000-0005-0000-0000-0000AF040000}"/>
    <cellStyle name="20% - Accent2 2 2 3 3 2 2 2 2" xfId="1209" xr:uid="{00000000-0005-0000-0000-0000B0040000}"/>
    <cellStyle name="20% - Accent2 2 2 3 3 2 2 3" xfId="1210" xr:uid="{00000000-0005-0000-0000-0000B1040000}"/>
    <cellStyle name="20% - Accent2 2 2 3 3 2 3" xfId="1211" xr:uid="{00000000-0005-0000-0000-0000B2040000}"/>
    <cellStyle name="20% - Accent2 2 2 3 3 2 3 2" xfId="1212" xr:uid="{00000000-0005-0000-0000-0000B3040000}"/>
    <cellStyle name="20% - Accent2 2 2 3 3 2 4" xfId="1213" xr:uid="{00000000-0005-0000-0000-0000B4040000}"/>
    <cellStyle name="20% - Accent2 2 2 3 3 3" xfId="1214" xr:uid="{00000000-0005-0000-0000-0000B5040000}"/>
    <cellStyle name="20% - Accent2 2 2 3 3 3 2" xfId="1215" xr:uid="{00000000-0005-0000-0000-0000B6040000}"/>
    <cellStyle name="20% - Accent2 2 2 3 3 3 2 2" xfId="1216" xr:uid="{00000000-0005-0000-0000-0000B7040000}"/>
    <cellStyle name="20% - Accent2 2 2 3 3 3 3" xfId="1217" xr:uid="{00000000-0005-0000-0000-0000B8040000}"/>
    <cellStyle name="20% - Accent2 2 2 3 3 4" xfId="1218" xr:uid="{00000000-0005-0000-0000-0000B9040000}"/>
    <cellStyle name="20% - Accent2 2 2 3 3 4 2" xfId="1219" xr:uid="{00000000-0005-0000-0000-0000BA040000}"/>
    <cellStyle name="20% - Accent2 2 2 3 3 5" xfId="1220" xr:uid="{00000000-0005-0000-0000-0000BB040000}"/>
    <cellStyle name="20% - Accent2 2 2 3 4" xfId="1221" xr:uid="{00000000-0005-0000-0000-0000BC040000}"/>
    <cellStyle name="20% - Accent2 2 2 3 4 2" xfId="1222" xr:uid="{00000000-0005-0000-0000-0000BD040000}"/>
    <cellStyle name="20% - Accent2 2 2 3 4 2 2" xfId="1223" xr:uid="{00000000-0005-0000-0000-0000BE040000}"/>
    <cellStyle name="20% - Accent2 2 2 3 4 2 2 2" xfId="1224" xr:uid="{00000000-0005-0000-0000-0000BF040000}"/>
    <cellStyle name="20% - Accent2 2 2 3 4 2 3" xfId="1225" xr:uid="{00000000-0005-0000-0000-0000C0040000}"/>
    <cellStyle name="20% - Accent2 2 2 3 4 3" xfId="1226" xr:uid="{00000000-0005-0000-0000-0000C1040000}"/>
    <cellStyle name="20% - Accent2 2 2 3 4 3 2" xfId="1227" xr:uid="{00000000-0005-0000-0000-0000C2040000}"/>
    <cellStyle name="20% - Accent2 2 2 3 4 4" xfId="1228" xr:uid="{00000000-0005-0000-0000-0000C3040000}"/>
    <cellStyle name="20% - Accent2 2 2 3 5" xfId="1229" xr:uid="{00000000-0005-0000-0000-0000C4040000}"/>
    <cellStyle name="20% - Accent2 2 2 3 5 2" xfId="1230" xr:uid="{00000000-0005-0000-0000-0000C5040000}"/>
    <cellStyle name="20% - Accent2 2 2 3 5 2 2" xfId="1231" xr:uid="{00000000-0005-0000-0000-0000C6040000}"/>
    <cellStyle name="20% - Accent2 2 2 3 5 3" xfId="1232" xr:uid="{00000000-0005-0000-0000-0000C7040000}"/>
    <cellStyle name="20% - Accent2 2 2 3 6" xfId="1233" xr:uid="{00000000-0005-0000-0000-0000C8040000}"/>
    <cellStyle name="20% - Accent2 2 2 3 6 2" xfId="1234" xr:uid="{00000000-0005-0000-0000-0000C9040000}"/>
    <cellStyle name="20% - Accent2 2 2 3 7" xfId="1235" xr:uid="{00000000-0005-0000-0000-0000CA040000}"/>
    <cellStyle name="20% - Accent2 2 2 4" xfId="1236" xr:uid="{00000000-0005-0000-0000-0000CB040000}"/>
    <cellStyle name="20% - Accent2 2 2 4 2" xfId="1237" xr:uid="{00000000-0005-0000-0000-0000CC040000}"/>
    <cellStyle name="20% - Accent2 2 2 4 2 2" xfId="1238" xr:uid="{00000000-0005-0000-0000-0000CD040000}"/>
    <cellStyle name="20% - Accent2 2 2 4 2 2 2" xfId="1239" xr:uid="{00000000-0005-0000-0000-0000CE040000}"/>
    <cellStyle name="20% - Accent2 2 2 4 2 2 2 2" xfId="1240" xr:uid="{00000000-0005-0000-0000-0000CF040000}"/>
    <cellStyle name="20% - Accent2 2 2 4 2 2 2 2 2" xfId="1241" xr:uid="{00000000-0005-0000-0000-0000D0040000}"/>
    <cellStyle name="20% - Accent2 2 2 4 2 2 2 3" xfId="1242" xr:uid="{00000000-0005-0000-0000-0000D1040000}"/>
    <cellStyle name="20% - Accent2 2 2 4 2 2 3" xfId="1243" xr:uid="{00000000-0005-0000-0000-0000D2040000}"/>
    <cellStyle name="20% - Accent2 2 2 4 2 2 3 2" xfId="1244" xr:uid="{00000000-0005-0000-0000-0000D3040000}"/>
    <cellStyle name="20% - Accent2 2 2 4 2 2 4" xfId="1245" xr:uid="{00000000-0005-0000-0000-0000D4040000}"/>
    <cellStyle name="20% - Accent2 2 2 4 2 3" xfId="1246" xr:uid="{00000000-0005-0000-0000-0000D5040000}"/>
    <cellStyle name="20% - Accent2 2 2 4 2 3 2" xfId="1247" xr:uid="{00000000-0005-0000-0000-0000D6040000}"/>
    <cellStyle name="20% - Accent2 2 2 4 2 3 2 2" xfId="1248" xr:uid="{00000000-0005-0000-0000-0000D7040000}"/>
    <cellStyle name="20% - Accent2 2 2 4 2 3 3" xfId="1249" xr:uid="{00000000-0005-0000-0000-0000D8040000}"/>
    <cellStyle name="20% - Accent2 2 2 4 2 4" xfId="1250" xr:uid="{00000000-0005-0000-0000-0000D9040000}"/>
    <cellStyle name="20% - Accent2 2 2 4 2 4 2" xfId="1251" xr:uid="{00000000-0005-0000-0000-0000DA040000}"/>
    <cellStyle name="20% - Accent2 2 2 4 2 5" xfId="1252" xr:uid="{00000000-0005-0000-0000-0000DB040000}"/>
    <cellStyle name="20% - Accent2 2 2 4 3" xfId="1253" xr:uid="{00000000-0005-0000-0000-0000DC040000}"/>
    <cellStyle name="20% - Accent2 2 2 4 3 2" xfId="1254" xr:uid="{00000000-0005-0000-0000-0000DD040000}"/>
    <cellStyle name="20% - Accent2 2 2 4 3 2 2" xfId="1255" xr:uid="{00000000-0005-0000-0000-0000DE040000}"/>
    <cellStyle name="20% - Accent2 2 2 4 3 2 2 2" xfId="1256" xr:uid="{00000000-0005-0000-0000-0000DF040000}"/>
    <cellStyle name="20% - Accent2 2 2 4 3 2 3" xfId="1257" xr:uid="{00000000-0005-0000-0000-0000E0040000}"/>
    <cellStyle name="20% - Accent2 2 2 4 3 3" xfId="1258" xr:uid="{00000000-0005-0000-0000-0000E1040000}"/>
    <cellStyle name="20% - Accent2 2 2 4 3 3 2" xfId="1259" xr:uid="{00000000-0005-0000-0000-0000E2040000}"/>
    <cellStyle name="20% - Accent2 2 2 4 3 4" xfId="1260" xr:uid="{00000000-0005-0000-0000-0000E3040000}"/>
    <cellStyle name="20% - Accent2 2 2 4 4" xfId="1261" xr:uid="{00000000-0005-0000-0000-0000E4040000}"/>
    <cellStyle name="20% - Accent2 2 2 4 4 2" xfId="1262" xr:uid="{00000000-0005-0000-0000-0000E5040000}"/>
    <cellStyle name="20% - Accent2 2 2 4 4 2 2" xfId="1263" xr:uid="{00000000-0005-0000-0000-0000E6040000}"/>
    <cellStyle name="20% - Accent2 2 2 4 4 3" xfId="1264" xr:uid="{00000000-0005-0000-0000-0000E7040000}"/>
    <cellStyle name="20% - Accent2 2 2 4 5" xfId="1265" xr:uid="{00000000-0005-0000-0000-0000E8040000}"/>
    <cellStyle name="20% - Accent2 2 2 4 5 2" xfId="1266" xr:uid="{00000000-0005-0000-0000-0000E9040000}"/>
    <cellStyle name="20% - Accent2 2 2 4 6" xfId="1267" xr:uid="{00000000-0005-0000-0000-0000EA040000}"/>
    <cellStyle name="20% - Accent2 2 2 5" xfId="1268" xr:uid="{00000000-0005-0000-0000-0000EB040000}"/>
    <cellStyle name="20% - Accent2 2 2 5 2" xfId="1269" xr:uid="{00000000-0005-0000-0000-0000EC040000}"/>
    <cellStyle name="20% - Accent2 2 2 5 2 2" xfId="1270" xr:uid="{00000000-0005-0000-0000-0000ED040000}"/>
    <cellStyle name="20% - Accent2 2 2 5 2 2 2" xfId="1271" xr:uid="{00000000-0005-0000-0000-0000EE040000}"/>
    <cellStyle name="20% - Accent2 2 2 5 2 2 2 2" xfId="1272" xr:uid="{00000000-0005-0000-0000-0000EF040000}"/>
    <cellStyle name="20% - Accent2 2 2 5 2 2 3" xfId="1273" xr:uid="{00000000-0005-0000-0000-0000F0040000}"/>
    <cellStyle name="20% - Accent2 2 2 5 2 3" xfId="1274" xr:uid="{00000000-0005-0000-0000-0000F1040000}"/>
    <cellStyle name="20% - Accent2 2 2 5 2 3 2" xfId="1275" xr:uid="{00000000-0005-0000-0000-0000F2040000}"/>
    <cellStyle name="20% - Accent2 2 2 5 2 4" xfId="1276" xr:uid="{00000000-0005-0000-0000-0000F3040000}"/>
    <cellStyle name="20% - Accent2 2 2 5 3" xfId="1277" xr:uid="{00000000-0005-0000-0000-0000F4040000}"/>
    <cellStyle name="20% - Accent2 2 2 5 3 2" xfId="1278" xr:uid="{00000000-0005-0000-0000-0000F5040000}"/>
    <cellStyle name="20% - Accent2 2 2 5 3 2 2" xfId="1279" xr:uid="{00000000-0005-0000-0000-0000F6040000}"/>
    <cellStyle name="20% - Accent2 2 2 5 3 3" xfId="1280" xr:uid="{00000000-0005-0000-0000-0000F7040000}"/>
    <cellStyle name="20% - Accent2 2 2 5 4" xfId="1281" xr:uid="{00000000-0005-0000-0000-0000F8040000}"/>
    <cellStyle name="20% - Accent2 2 2 5 4 2" xfId="1282" xr:uid="{00000000-0005-0000-0000-0000F9040000}"/>
    <cellStyle name="20% - Accent2 2 2 5 5" xfId="1283" xr:uid="{00000000-0005-0000-0000-0000FA040000}"/>
    <cellStyle name="20% - Accent2 2 2 6" xfId="1284" xr:uid="{00000000-0005-0000-0000-0000FB040000}"/>
    <cellStyle name="20% - Accent2 2 2 6 2" xfId="1285" xr:uid="{00000000-0005-0000-0000-0000FC040000}"/>
    <cellStyle name="20% - Accent2 2 2 6 2 2" xfId="1286" xr:uid="{00000000-0005-0000-0000-0000FD040000}"/>
    <cellStyle name="20% - Accent2 2 2 6 2 2 2" xfId="1287" xr:uid="{00000000-0005-0000-0000-0000FE040000}"/>
    <cellStyle name="20% - Accent2 2 2 6 2 3" xfId="1288" xr:uid="{00000000-0005-0000-0000-0000FF040000}"/>
    <cellStyle name="20% - Accent2 2 2 6 3" xfId="1289" xr:uid="{00000000-0005-0000-0000-000000050000}"/>
    <cellStyle name="20% - Accent2 2 2 6 3 2" xfId="1290" xr:uid="{00000000-0005-0000-0000-000001050000}"/>
    <cellStyle name="20% - Accent2 2 2 6 4" xfId="1291" xr:uid="{00000000-0005-0000-0000-000002050000}"/>
    <cellStyle name="20% - Accent2 2 2 7" xfId="1292" xr:uid="{00000000-0005-0000-0000-000003050000}"/>
    <cellStyle name="20% - Accent2 2 2 7 2" xfId="1293" xr:uid="{00000000-0005-0000-0000-000004050000}"/>
    <cellStyle name="20% - Accent2 2 2 7 2 2" xfId="1294" xr:uid="{00000000-0005-0000-0000-000005050000}"/>
    <cellStyle name="20% - Accent2 2 2 7 3" xfId="1295" xr:uid="{00000000-0005-0000-0000-000006050000}"/>
    <cellStyle name="20% - Accent2 2 2 8" xfId="1296" xr:uid="{00000000-0005-0000-0000-000007050000}"/>
    <cellStyle name="20% - Accent2 2 2 8 2" xfId="1297" xr:uid="{00000000-0005-0000-0000-000008050000}"/>
    <cellStyle name="20% - Accent2 2 2 9" xfId="1298" xr:uid="{00000000-0005-0000-0000-000009050000}"/>
    <cellStyle name="20% - Accent2 2 3" xfId="1299" xr:uid="{00000000-0005-0000-0000-00000A050000}"/>
    <cellStyle name="20% - Accent2 2 3 2" xfId="1300" xr:uid="{00000000-0005-0000-0000-00000B050000}"/>
    <cellStyle name="20% - Accent2 2 3 2 2" xfId="1301" xr:uid="{00000000-0005-0000-0000-00000C050000}"/>
    <cellStyle name="20% - Accent2 2 3 2 2 2" xfId="1302" xr:uid="{00000000-0005-0000-0000-00000D050000}"/>
    <cellStyle name="20% - Accent2 2 3 2 2 2 2" xfId="1303" xr:uid="{00000000-0005-0000-0000-00000E050000}"/>
    <cellStyle name="20% - Accent2 2 3 2 2 2 2 2" xfId="1304" xr:uid="{00000000-0005-0000-0000-00000F050000}"/>
    <cellStyle name="20% - Accent2 2 3 2 2 2 2 2 2" xfId="1305" xr:uid="{00000000-0005-0000-0000-000010050000}"/>
    <cellStyle name="20% - Accent2 2 3 2 2 2 2 2 2 2" xfId="1306" xr:uid="{00000000-0005-0000-0000-000011050000}"/>
    <cellStyle name="20% - Accent2 2 3 2 2 2 2 2 3" xfId="1307" xr:uid="{00000000-0005-0000-0000-000012050000}"/>
    <cellStyle name="20% - Accent2 2 3 2 2 2 2 3" xfId="1308" xr:uid="{00000000-0005-0000-0000-000013050000}"/>
    <cellStyle name="20% - Accent2 2 3 2 2 2 2 3 2" xfId="1309" xr:uid="{00000000-0005-0000-0000-000014050000}"/>
    <cellStyle name="20% - Accent2 2 3 2 2 2 2 4" xfId="1310" xr:uid="{00000000-0005-0000-0000-000015050000}"/>
    <cellStyle name="20% - Accent2 2 3 2 2 2 3" xfId="1311" xr:uid="{00000000-0005-0000-0000-000016050000}"/>
    <cellStyle name="20% - Accent2 2 3 2 2 2 3 2" xfId="1312" xr:uid="{00000000-0005-0000-0000-000017050000}"/>
    <cellStyle name="20% - Accent2 2 3 2 2 2 3 2 2" xfId="1313" xr:uid="{00000000-0005-0000-0000-000018050000}"/>
    <cellStyle name="20% - Accent2 2 3 2 2 2 3 3" xfId="1314" xr:uid="{00000000-0005-0000-0000-000019050000}"/>
    <cellStyle name="20% - Accent2 2 3 2 2 2 4" xfId="1315" xr:uid="{00000000-0005-0000-0000-00001A050000}"/>
    <cellStyle name="20% - Accent2 2 3 2 2 2 4 2" xfId="1316" xr:uid="{00000000-0005-0000-0000-00001B050000}"/>
    <cellStyle name="20% - Accent2 2 3 2 2 2 5" xfId="1317" xr:uid="{00000000-0005-0000-0000-00001C050000}"/>
    <cellStyle name="20% - Accent2 2 3 2 2 3" xfId="1318" xr:uid="{00000000-0005-0000-0000-00001D050000}"/>
    <cellStyle name="20% - Accent2 2 3 2 2 3 2" xfId="1319" xr:uid="{00000000-0005-0000-0000-00001E050000}"/>
    <cellStyle name="20% - Accent2 2 3 2 2 3 2 2" xfId="1320" xr:uid="{00000000-0005-0000-0000-00001F050000}"/>
    <cellStyle name="20% - Accent2 2 3 2 2 3 2 2 2" xfId="1321" xr:uid="{00000000-0005-0000-0000-000020050000}"/>
    <cellStyle name="20% - Accent2 2 3 2 2 3 2 3" xfId="1322" xr:uid="{00000000-0005-0000-0000-000021050000}"/>
    <cellStyle name="20% - Accent2 2 3 2 2 3 3" xfId="1323" xr:uid="{00000000-0005-0000-0000-000022050000}"/>
    <cellStyle name="20% - Accent2 2 3 2 2 3 3 2" xfId="1324" xr:uid="{00000000-0005-0000-0000-000023050000}"/>
    <cellStyle name="20% - Accent2 2 3 2 2 3 4" xfId="1325" xr:uid="{00000000-0005-0000-0000-000024050000}"/>
    <cellStyle name="20% - Accent2 2 3 2 2 4" xfId="1326" xr:uid="{00000000-0005-0000-0000-000025050000}"/>
    <cellStyle name="20% - Accent2 2 3 2 2 4 2" xfId="1327" xr:uid="{00000000-0005-0000-0000-000026050000}"/>
    <cellStyle name="20% - Accent2 2 3 2 2 4 2 2" xfId="1328" xr:uid="{00000000-0005-0000-0000-000027050000}"/>
    <cellStyle name="20% - Accent2 2 3 2 2 4 3" xfId="1329" xr:uid="{00000000-0005-0000-0000-000028050000}"/>
    <cellStyle name="20% - Accent2 2 3 2 2 5" xfId="1330" xr:uid="{00000000-0005-0000-0000-000029050000}"/>
    <cellStyle name="20% - Accent2 2 3 2 2 5 2" xfId="1331" xr:uid="{00000000-0005-0000-0000-00002A050000}"/>
    <cellStyle name="20% - Accent2 2 3 2 2 6" xfId="1332" xr:uid="{00000000-0005-0000-0000-00002B050000}"/>
    <cellStyle name="20% - Accent2 2 3 2 3" xfId="1333" xr:uid="{00000000-0005-0000-0000-00002C050000}"/>
    <cellStyle name="20% - Accent2 2 3 2 3 2" xfId="1334" xr:uid="{00000000-0005-0000-0000-00002D050000}"/>
    <cellStyle name="20% - Accent2 2 3 2 3 2 2" xfId="1335" xr:uid="{00000000-0005-0000-0000-00002E050000}"/>
    <cellStyle name="20% - Accent2 2 3 2 3 2 2 2" xfId="1336" xr:uid="{00000000-0005-0000-0000-00002F050000}"/>
    <cellStyle name="20% - Accent2 2 3 2 3 2 2 2 2" xfId="1337" xr:uid="{00000000-0005-0000-0000-000030050000}"/>
    <cellStyle name="20% - Accent2 2 3 2 3 2 2 3" xfId="1338" xr:uid="{00000000-0005-0000-0000-000031050000}"/>
    <cellStyle name="20% - Accent2 2 3 2 3 2 3" xfId="1339" xr:uid="{00000000-0005-0000-0000-000032050000}"/>
    <cellStyle name="20% - Accent2 2 3 2 3 2 3 2" xfId="1340" xr:uid="{00000000-0005-0000-0000-000033050000}"/>
    <cellStyle name="20% - Accent2 2 3 2 3 2 4" xfId="1341" xr:uid="{00000000-0005-0000-0000-000034050000}"/>
    <cellStyle name="20% - Accent2 2 3 2 3 3" xfId="1342" xr:uid="{00000000-0005-0000-0000-000035050000}"/>
    <cellStyle name="20% - Accent2 2 3 2 3 3 2" xfId="1343" xr:uid="{00000000-0005-0000-0000-000036050000}"/>
    <cellStyle name="20% - Accent2 2 3 2 3 3 2 2" xfId="1344" xr:uid="{00000000-0005-0000-0000-000037050000}"/>
    <cellStyle name="20% - Accent2 2 3 2 3 3 3" xfId="1345" xr:uid="{00000000-0005-0000-0000-000038050000}"/>
    <cellStyle name="20% - Accent2 2 3 2 3 4" xfId="1346" xr:uid="{00000000-0005-0000-0000-000039050000}"/>
    <cellStyle name="20% - Accent2 2 3 2 3 4 2" xfId="1347" xr:uid="{00000000-0005-0000-0000-00003A050000}"/>
    <cellStyle name="20% - Accent2 2 3 2 3 5" xfId="1348" xr:uid="{00000000-0005-0000-0000-00003B050000}"/>
    <cellStyle name="20% - Accent2 2 3 2 4" xfId="1349" xr:uid="{00000000-0005-0000-0000-00003C050000}"/>
    <cellStyle name="20% - Accent2 2 3 2 4 2" xfId="1350" xr:uid="{00000000-0005-0000-0000-00003D050000}"/>
    <cellStyle name="20% - Accent2 2 3 2 4 2 2" xfId="1351" xr:uid="{00000000-0005-0000-0000-00003E050000}"/>
    <cellStyle name="20% - Accent2 2 3 2 4 2 2 2" xfId="1352" xr:uid="{00000000-0005-0000-0000-00003F050000}"/>
    <cellStyle name="20% - Accent2 2 3 2 4 2 3" xfId="1353" xr:uid="{00000000-0005-0000-0000-000040050000}"/>
    <cellStyle name="20% - Accent2 2 3 2 4 3" xfId="1354" xr:uid="{00000000-0005-0000-0000-000041050000}"/>
    <cellStyle name="20% - Accent2 2 3 2 4 3 2" xfId="1355" xr:uid="{00000000-0005-0000-0000-000042050000}"/>
    <cellStyle name="20% - Accent2 2 3 2 4 4" xfId="1356" xr:uid="{00000000-0005-0000-0000-000043050000}"/>
    <cellStyle name="20% - Accent2 2 3 2 5" xfId="1357" xr:uid="{00000000-0005-0000-0000-000044050000}"/>
    <cellStyle name="20% - Accent2 2 3 2 5 2" xfId="1358" xr:uid="{00000000-0005-0000-0000-000045050000}"/>
    <cellStyle name="20% - Accent2 2 3 2 5 2 2" xfId="1359" xr:uid="{00000000-0005-0000-0000-000046050000}"/>
    <cellStyle name="20% - Accent2 2 3 2 5 3" xfId="1360" xr:uid="{00000000-0005-0000-0000-000047050000}"/>
    <cellStyle name="20% - Accent2 2 3 2 6" xfId="1361" xr:uid="{00000000-0005-0000-0000-000048050000}"/>
    <cellStyle name="20% - Accent2 2 3 2 6 2" xfId="1362" xr:uid="{00000000-0005-0000-0000-000049050000}"/>
    <cellStyle name="20% - Accent2 2 3 2 7" xfId="1363" xr:uid="{00000000-0005-0000-0000-00004A050000}"/>
    <cellStyle name="20% - Accent2 2 3 3" xfId="1364" xr:uid="{00000000-0005-0000-0000-00004B050000}"/>
    <cellStyle name="20% - Accent2 2 3 3 2" xfId="1365" xr:uid="{00000000-0005-0000-0000-00004C050000}"/>
    <cellStyle name="20% - Accent2 2 3 3 2 2" xfId="1366" xr:uid="{00000000-0005-0000-0000-00004D050000}"/>
    <cellStyle name="20% - Accent2 2 3 3 2 2 2" xfId="1367" xr:uid="{00000000-0005-0000-0000-00004E050000}"/>
    <cellStyle name="20% - Accent2 2 3 3 2 2 2 2" xfId="1368" xr:uid="{00000000-0005-0000-0000-00004F050000}"/>
    <cellStyle name="20% - Accent2 2 3 3 2 2 2 2 2" xfId="1369" xr:uid="{00000000-0005-0000-0000-000050050000}"/>
    <cellStyle name="20% - Accent2 2 3 3 2 2 2 3" xfId="1370" xr:uid="{00000000-0005-0000-0000-000051050000}"/>
    <cellStyle name="20% - Accent2 2 3 3 2 2 3" xfId="1371" xr:uid="{00000000-0005-0000-0000-000052050000}"/>
    <cellStyle name="20% - Accent2 2 3 3 2 2 3 2" xfId="1372" xr:uid="{00000000-0005-0000-0000-000053050000}"/>
    <cellStyle name="20% - Accent2 2 3 3 2 2 4" xfId="1373" xr:uid="{00000000-0005-0000-0000-000054050000}"/>
    <cellStyle name="20% - Accent2 2 3 3 2 3" xfId="1374" xr:uid="{00000000-0005-0000-0000-000055050000}"/>
    <cellStyle name="20% - Accent2 2 3 3 2 3 2" xfId="1375" xr:uid="{00000000-0005-0000-0000-000056050000}"/>
    <cellStyle name="20% - Accent2 2 3 3 2 3 2 2" xfId="1376" xr:uid="{00000000-0005-0000-0000-000057050000}"/>
    <cellStyle name="20% - Accent2 2 3 3 2 3 3" xfId="1377" xr:uid="{00000000-0005-0000-0000-000058050000}"/>
    <cellStyle name="20% - Accent2 2 3 3 2 4" xfId="1378" xr:uid="{00000000-0005-0000-0000-000059050000}"/>
    <cellStyle name="20% - Accent2 2 3 3 2 4 2" xfId="1379" xr:uid="{00000000-0005-0000-0000-00005A050000}"/>
    <cellStyle name="20% - Accent2 2 3 3 2 5" xfId="1380" xr:uid="{00000000-0005-0000-0000-00005B050000}"/>
    <cellStyle name="20% - Accent2 2 3 3 3" xfId="1381" xr:uid="{00000000-0005-0000-0000-00005C050000}"/>
    <cellStyle name="20% - Accent2 2 3 3 3 2" xfId="1382" xr:uid="{00000000-0005-0000-0000-00005D050000}"/>
    <cellStyle name="20% - Accent2 2 3 3 3 2 2" xfId="1383" xr:uid="{00000000-0005-0000-0000-00005E050000}"/>
    <cellStyle name="20% - Accent2 2 3 3 3 2 2 2" xfId="1384" xr:uid="{00000000-0005-0000-0000-00005F050000}"/>
    <cellStyle name="20% - Accent2 2 3 3 3 2 3" xfId="1385" xr:uid="{00000000-0005-0000-0000-000060050000}"/>
    <cellStyle name="20% - Accent2 2 3 3 3 3" xfId="1386" xr:uid="{00000000-0005-0000-0000-000061050000}"/>
    <cellStyle name="20% - Accent2 2 3 3 3 3 2" xfId="1387" xr:uid="{00000000-0005-0000-0000-000062050000}"/>
    <cellStyle name="20% - Accent2 2 3 3 3 4" xfId="1388" xr:uid="{00000000-0005-0000-0000-000063050000}"/>
    <cellStyle name="20% - Accent2 2 3 3 4" xfId="1389" xr:uid="{00000000-0005-0000-0000-000064050000}"/>
    <cellStyle name="20% - Accent2 2 3 3 4 2" xfId="1390" xr:uid="{00000000-0005-0000-0000-000065050000}"/>
    <cellStyle name="20% - Accent2 2 3 3 4 2 2" xfId="1391" xr:uid="{00000000-0005-0000-0000-000066050000}"/>
    <cellStyle name="20% - Accent2 2 3 3 4 3" xfId="1392" xr:uid="{00000000-0005-0000-0000-000067050000}"/>
    <cellStyle name="20% - Accent2 2 3 3 5" xfId="1393" xr:uid="{00000000-0005-0000-0000-000068050000}"/>
    <cellStyle name="20% - Accent2 2 3 3 5 2" xfId="1394" xr:uid="{00000000-0005-0000-0000-000069050000}"/>
    <cellStyle name="20% - Accent2 2 3 3 6" xfId="1395" xr:uid="{00000000-0005-0000-0000-00006A050000}"/>
    <cellStyle name="20% - Accent2 2 3 4" xfId="1396" xr:uid="{00000000-0005-0000-0000-00006B050000}"/>
    <cellStyle name="20% - Accent2 2 3 4 2" xfId="1397" xr:uid="{00000000-0005-0000-0000-00006C050000}"/>
    <cellStyle name="20% - Accent2 2 3 4 2 2" xfId="1398" xr:uid="{00000000-0005-0000-0000-00006D050000}"/>
    <cellStyle name="20% - Accent2 2 3 4 2 2 2" xfId="1399" xr:uid="{00000000-0005-0000-0000-00006E050000}"/>
    <cellStyle name="20% - Accent2 2 3 4 2 2 2 2" xfId="1400" xr:uid="{00000000-0005-0000-0000-00006F050000}"/>
    <cellStyle name="20% - Accent2 2 3 4 2 2 3" xfId="1401" xr:uid="{00000000-0005-0000-0000-000070050000}"/>
    <cellStyle name="20% - Accent2 2 3 4 2 3" xfId="1402" xr:uid="{00000000-0005-0000-0000-000071050000}"/>
    <cellStyle name="20% - Accent2 2 3 4 2 3 2" xfId="1403" xr:uid="{00000000-0005-0000-0000-000072050000}"/>
    <cellStyle name="20% - Accent2 2 3 4 2 4" xfId="1404" xr:uid="{00000000-0005-0000-0000-000073050000}"/>
    <cellStyle name="20% - Accent2 2 3 4 3" xfId="1405" xr:uid="{00000000-0005-0000-0000-000074050000}"/>
    <cellStyle name="20% - Accent2 2 3 4 3 2" xfId="1406" xr:uid="{00000000-0005-0000-0000-000075050000}"/>
    <cellStyle name="20% - Accent2 2 3 4 3 2 2" xfId="1407" xr:uid="{00000000-0005-0000-0000-000076050000}"/>
    <cellStyle name="20% - Accent2 2 3 4 3 3" xfId="1408" xr:uid="{00000000-0005-0000-0000-000077050000}"/>
    <cellStyle name="20% - Accent2 2 3 4 4" xfId="1409" xr:uid="{00000000-0005-0000-0000-000078050000}"/>
    <cellStyle name="20% - Accent2 2 3 4 4 2" xfId="1410" xr:uid="{00000000-0005-0000-0000-000079050000}"/>
    <cellStyle name="20% - Accent2 2 3 4 5" xfId="1411" xr:uid="{00000000-0005-0000-0000-00007A050000}"/>
    <cellStyle name="20% - Accent2 2 3 5" xfId="1412" xr:uid="{00000000-0005-0000-0000-00007B050000}"/>
    <cellStyle name="20% - Accent2 2 3 5 2" xfId="1413" xr:uid="{00000000-0005-0000-0000-00007C050000}"/>
    <cellStyle name="20% - Accent2 2 3 5 2 2" xfId="1414" xr:uid="{00000000-0005-0000-0000-00007D050000}"/>
    <cellStyle name="20% - Accent2 2 3 5 2 2 2" xfId="1415" xr:uid="{00000000-0005-0000-0000-00007E050000}"/>
    <cellStyle name="20% - Accent2 2 3 5 2 3" xfId="1416" xr:uid="{00000000-0005-0000-0000-00007F050000}"/>
    <cellStyle name="20% - Accent2 2 3 5 3" xfId="1417" xr:uid="{00000000-0005-0000-0000-000080050000}"/>
    <cellStyle name="20% - Accent2 2 3 5 3 2" xfId="1418" xr:uid="{00000000-0005-0000-0000-000081050000}"/>
    <cellStyle name="20% - Accent2 2 3 5 4" xfId="1419" xr:uid="{00000000-0005-0000-0000-000082050000}"/>
    <cellStyle name="20% - Accent2 2 3 6" xfId="1420" xr:uid="{00000000-0005-0000-0000-000083050000}"/>
    <cellStyle name="20% - Accent2 2 3 6 2" xfId="1421" xr:uid="{00000000-0005-0000-0000-000084050000}"/>
    <cellStyle name="20% - Accent2 2 3 6 2 2" xfId="1422" xr:uid="{00000000-0005-0000-0000-000085050000}"/>
    <cellStyle name="20% - Accent2 2 3 6 3" xfId="1423" xr:uid="{00000000-0005-0000-0000-000086050000}"/>
    <cellStyle name="20% - Accent2 2 3 7" xfId="1424" xr:uid="{00000000-0005-0000-0000-000087050000}"/>
    <cellStyle name="20% - Accent2 2 3 7 2" xfId="1425" xr:uid="{00000000-0005-0000-0000-000088050000}"/>
    <cellStyle name="20% - Accent2 2 3 8" xfId="1426" xr:uid="{00000000-0005-0000-0000-000089050000}"/>
    <cellStyle name="20% - Accent2 2 4" xfId="1427" xr:uid="{00000000-0005-0000-0000-00008A050000}"/>
    <cellStyle name="20% - Accent2 2 4 2" xfId="1428" xr:uid="{00000000-0005-0000-0000-00008B050000}"/>
    <cellStyle name="20% - Accent2 2 4 2 2" xfId="1429" xr:uid="{00000000-0005-0000-0000-00008C050000}"/>
    <cellStyle name="20% - Accent2 2 4 2 2 2" xfId="1430" xr:uid="{00000000-0005-0000-0000-00008D050000}"/>
    <cellStyle name="20% - Accent2 2 4 2 2 2 2" xfId="1431" xr:uid="{00000000-0005-0000-0000-00008E050000}"/>
    <cellStyle name="20% - Accent2 2 4 2 2 2 2 2" xfId="1432" xr:uid="{00000000-0005-0000-0000-00008F050000}"/>
    <cellStyle name="20% - Accent2 2 4 2 2 2 2 2 2" xfId="1433" xr:uid="{00000000-0005-0000-0000-000090050000}"/>
    <cellStyle name="20% - Accent2 2 4 2 2 2 2 3" xfId="1434" xr:uid="{00000000-0005-0000-0000-000091050000}"/>
    <cellStyle name="20% - Accent2 2 4 2 2 2 3" xfId="1435" xr:uid="{00000000-0005-0000-0000-000092050000}"/>
    <cellStyle name="20% - Accent2 2 4 2 2 2 3 2" xfId="1436" xr:uid="{00000000-0005-0000-0000-000093050000}"/>
    <cellStyle name="20% - Accent2 2 4 2 2 2 4" xfId="1437" xr:uid="{00000000-0005-0000-0000-000094050000}"/>
    <cellStyle name="20% - Accent2 2 4 2 2 3" xfId="1438" xr:uid="{00000000-0005-0000-0000-000095050000}"/>
    <cellStyle name="20% - Accent2 2 4 2 2 3 2" xfId="1439" xr:uid="{00000000-0005-0000-0000-000096050000}"/>
    <cellStyle name="20% - Accent2 2 4 2 2 3 2 2" xfId="1440" xr:uid="{00000000-0005-0000-0000-000097050000}"/>
    <cellStyle name="20% - Accent2 2 4 2 2 3 3" xfId="1441" xr:uid="{00000000-0005-0000-0000-000098050000}"/>
    <cellStyle name="20% - Accent2 2 4 2 2 4" xfId="1442" xr:uid="{00000000-0005-0000-0000-000099050000}"/>
    <cellStyle name="20% - Accent2 2 4 2 2 4 2" xfId="1443" xr:uid="{00000000-0005-0000-0000-00009A050000}"/>
    <cellStyle name="20% - Accent2 2 4 2 2 5" xfId="1444" xr:uid="{00000000-0005-0000-0000-00009B050000}"/>
    <cellStyle name="20% - Accent2 2 4 2 3" xfId="1445" xr:uid="{00000000-0005-0000-0000-00009C050000}"/>
    <cellStyle name="20% - Accent2 2 4 2 3 2" xfId="1446" xr:uid="{00000000-0005-0000-0000-00009D050000}"/>
    <cellStyle name="20% - Accent2 2 4 2 3 2 2" xfId="1447" xr:uid="{00000000-0005-0000-0000-00009E050000}"/>
    <cellStyle name="20% - Accent2 2 4 2 3 2 2 2" xfId="1448" xr:uid="{00000000-0005-0000-0000-00009F050000}"/>
    <cellStyle name="20% - Accent2 2 4 2 3 2 3" xfId="1449" xr:uid="{00000000-0005-0000-0000-0000A0050000}"/>
    <cellStyle name="20% - Accent2 2 4 2 3 3" xfId="1450" xr:uid="{00000000-0005-0000-0000-0000A1050000}"/>
    <cellStyle name="20% - Accent2 2 4 2 3 3 2" xfId="1451" xr:uid="{00000000-0005-0000-0000-0000A2050000}"/>
    <cellStyle name="20% - Accent2 2 4 2 3 4" xfId="1452" xr:uid="{00000000-0005-0000-0000-0000A3050000}"/>
    <cellStyle name="20% - Accent2 2 4 2 4" xfId="1453" xr:uid="{00000000-0005-0000-0000-0000A4050000}"/>
    <cellStyle name="20% - Accent2 2 4 2 4 2" xfId="1454" xr:uid="{00000000-0005-0000-0000-0000A5050000}"/>
    <cellStyle name="20% - Accent2 2 4 2 4 2 2" xfId="1455" xr:uid="{00000000-0005-0000-0000-0000A6050000}"/>
    <cellStyle name="20% - Accent2 2 4 2 4 3" xfId="1456" xr:uid="{00000000-0005-0000-0000-0000A7050000}"/>
    <cellStyle name="20% - Accent2 2 4 2 5" xfId="1457" xr:uid="{00000000-0005-0000-0000-0000A8050000}"/>
    <cellStyle name="20% - Accent2 2 4 2 5 2" xfId="1458" xr:uid="{00000000-0005-0000-0000-0000A9050000}"/>
    <cellStyle name="20% - Accent2 2 4 2 6" xfId="1459" xr:uid="{00000000-0005-0000-0000-0000AA050000}"/>
    <cellStyle name="20% - Accent2 2 4 3" xfId="1460" xr:uid="{00000000-0005-0000-0000-0000AB050000}"/>
    <cellStyle name="20% - Accent2 2 4 3 2" xfId="1461" xr:uid="{00000000-0005-0000-0000-0000AC050000}"/>
    <cellStyle name="20% - Accent2 2 4 3 2 2" xfId="1462" xr:uid="{00000000-0005-0000-0000-0000AD050000}"/>
    <cellStyle name="20% - Accent2 2 4 3 2 2 2" xfId="1463" xr:uid="{00000000-0005-0000-0000-0000AE050000}"/>
    <cellStyle name="20% - Accent2 2 4 3 2 2 2 2" xfId="1464" xr:uid="{00000000-0005-0000-0000-0000AF050000}"/>
    <cellStyle name="20% - Accent2 2 4 3 2 2 3" xfId="1465" xr:uid="{00000000-0005-0000-0000-0000B0050000}"/>
    <cellStyle name="20% - Accent2 2 4 3 2 3" xfId="1466" xr:uid="{00000000-0005-0000-0000-0000B1050000}"/>
    <cellStyle name="20% - Accent2 2 4 3 2 3 2" xfId="1467" xr:uid="{00000000-0005-0000-0000-0000B2050000}"/>
    <cellStyle name="20% - Accent2 2 4 3 2 4" xfId="1468" xr:uid="{00000000-0005-0000-0000-0000B3050000}"/>
    <cellStyle name="20% - Accent2 2 4 3 3" xfId="1469" xr:uid="{00000000-0005-0000-0000-0000B4050000}"/>
    <cellStyle name="20% - Accent2 2 4 3 3 2" xfId="1470" xr:uid="{00000000-0005-0000-0000-0000B5050000}"/>
    <cellStyle name="20% - Accent2 2 4 3 3 2 2" xfId="1471" xr:uid="{00000000-0005-0000-0000-0000B6050000}"/>
    <cellStyle name="20% - Accent2 2 4 3 3 3" xfId="1472" xr:uid="{00000000-0005-0000-0000-0000B7050000}"/>
    <cellStyle name="20% - Accent2 2 4 3 4" xfId="1473" xr:uid="{00000000-0005-0000-0000-0000B8050000}"/>
    <cellStyle name="20% - Accent2 2 4 3 4 2" xfId="1474" xr:uid="{00000000-0005-0000-0000-0000B9050000}"/>
    <cellStyle name="20% - Accent2 2 4 3 5" xfId="1475" xr:uid="{00000000-0005-0000-0000-0000BA050000}"/>
    <cellStyle name="20% - Accent2 2 4 4" xfId="1476" xr:uid="{00000000-0005-0000-0000-0000BB050000}"/>
    <cellStyle name="20% - Accent2 2 4 4 2" xfId="1477" xr:uid="{00000000-0005-0000-0000-0000BC050000}"/>
    <cellStyle name="20% - Accent2 2 4 4 2 2" xfId="1478" xr:uid="{00000000-0005-0000-0000-0000BD050000}"/>
    <cellStyle name="20% - Accent2 2 4 4 2 2 2" xfId="1479" xr:uid="{00000000-0005-0000-0000-0000BE050000}"/>
    <cellStyle name="20% - Accent2 2 4 4 2 3" xfId="1480" xr:uid="{00000000-0005-0000-0000-0000BF050000}"/>
    <cellStyle name="20% - Accent2 2 4 4 3" xfId="1481" xr:uid="{00000000-0005-0000-0000-0000C0050000}"/>
    <cellStyle name="20% - Accent2 2 4 4 3 2" xfId="1482" xr:uid="{00000000-0005-0000-0000-0000C1050000}"/>
    <cellStyle name="20% - Accent2 2 4 4 4" xfId="1483" xr:uid="{00000000-0005-0000-0000-0000C2050000}"/>
    <cellStyle name="20% - Accent2 2 4 5" xfId="1484" xr:uid="{00000000-0005-0000-0000-0000C3050000}"/>
    <cellStyle name="20% - Accent2 2 4 5 2" xfId="1485" xr:uid="{00000000-0005-0000-0000-0000C4050000}"/>
    <cellStyle name="20% - Accent2 2 4 5 2 2" xfId="1486" xr:uid="{00000000-0005-0000-0000-0000C5050000}"/>
    <cellStyle name="20% - Accent2 2 4 5 3" xfId="1487" xr:uid="{00000000-0005-0000-0000-0000C6050000}"/>
    <cellStyle name="20% - Accent2 2 4 6" xfId="1488" xr:uid="{00000000-0005-0000-0000-0000C7050000}"/>
    <cellStyle name="20% - Accent2 2 4 6 2" xfId="1489" xr:uid="{00000000-0005-0000-0000-0000C8050000}"/>
    <cellStyle name="20% - Accent2 2 4 7" xfId="1490" xr:uid="{00000000-0005-0000-0000-0000C9050000}"/>
    <cellStyle name="20% - Accent2 2 5" xfId="1491" xr:uid="{00000000-0005-0000-0000-0000CA050000}"/>
    <cellStyle name="20% - Accent2 2 5 2" xfId="1492" xr:uid="{00000000-0005-0000-0000-0000CB050000}"/>
    <cellStyle name="20% - Accent2 2 5 2 2" xfId="1493" xr:uid="{00000000-0005-0000-0000-0000CC050000}"/>
    <cellStyle name="20% - Accent2 2 5 2 2 2" xfId="1494" xr:uid="{00000000-0005-0000-0000-0000CD050000}"/>
    <cellStyle name="20% - Accent2 2 5 2 2 2 2" xfId="1495" xr:uid="{00000000-0005-0000-0000-0000CE050000}"/>
    <cellStyle name="20% - Accent2 2 5 2 2 2 2 2" xfId="1496" xr:uid="{00000000-0005-0000-0000-0000CF050000}"/>
    <cellStyle name="20% - Accent2 2 5 2 2 2 3" xfId="1497" xr:uid="{00000000-0005-0000-0000-0000D0050000}"/>
    <cellStyle name="20% - Accent2 2 5 2 2 3" xfId="1498" xr:uid="{00000000-0005-0000-0000-0000D1050000}"/>
    <cellStyle name="20% - Accent2 2 5 2 2 3 2" xfId="1499" xr:uid="{00000000-0005-0000-0000-0000D2050000}"/>
    <cellStyle name="20% - Accent2 2 5 2 2 4" xfId="1500" xr:uid="{00000000-0005-0000-0000-0000D3050000}"/>
    <cellStyle name="20% - Accent2 2 5 2 3" xfId="1501" xr:uid="{00000000-0005-0000-0000-0000D4050000}"/>
    <cellStyle name="20% - Accent2 2 5 2 3 2" xfId="1502" xr:uid="{00000000-0005-0000-0000-0000D5050000}"/>
    <cellStyle name="20% - Accent2 2 5 2 3 2 2" xfId="1503" xr:uid="{00000000-0005-0000-0000-0000D6050000}"/>
    <cellStyle name="20% - Accent2 2 5 2 3 3" xfId="1504" xr:uid="{00000000-0005-0000-0000-0000D7050000}"/>
    <cellStyle name="20% - Accent2 2 5 2 4" xfId="1505" xr:uid="{00000000-0005-0000-0000-0000D8050000}"/>
    <cellStyle name="20% - Accent2 2 5 2 4 2" xfId="1506" xr:uid="{00000000-0005-0000-0000-0000D9050000}"/>
    <cellStyle name="20% - Accent2 2 5 2 5" xfId="1507" xr:uid="{00000000-0005-0000-0000-0000DA050000}"/>
    <cellStyle name="20% - Accent2 2 5 3" xfId="1508" xr:uid="{00000000-0005-0000-0000-0000DB050000}"/>
    <cellStyle name="20% - Accent2 2 5 3 2" xfId="1509" xr:uid="{00000000-0005-0000-0000-0000DC050000}"/>
    <cellStyle name="20% - Accent2 2 5 3 2 2" xfId="1510" xr:uid="{00000000-0005-0000-0000-0000DD050000}"/>
    <cellStyle name="20% - Accent2 2 5 3 2 2 2" xfId="1511" xr:uid="{00000000-0005-0000-0000-0000DE050000}"/>
    <cellStyle name="20% - Accent2 2 5 3 2 3" xfId="1512" xr:uid="{00000000-0005-0000-0000-0000DF050000}"/>
    <cellStyle name="20% - Accent2 2 5 3 3" xfId="1513" xr:uid="{00000000-0005-0000-0000-0000E0050000}"/>
    <cellStyle name="20% - Accent2 2 5 3 3 2" xfId="1514" xr:uid="{00000000-0005-0000-0000-0000E1050000}"/>
    <cellStyle name="20% - Accent2 2 5 3 4" xfId="1515" xr:uid="{00000000-0005-0000-0000-0000E2050000}"/>
    <cellStyle name="20% - Accent2 2 5 4" xfId="1516" xr:uid="{00000000-0005-0000-0000-0000E3050000}"/>
    <cellStyle name="20% - Accent2 2 5 4 2" xfId="1517" xr:uid="{00000000-0005-0000-0000-0000E4050000}"/>
    <cellStyle name="20% - Accent2 2 5 4 2 2" xfId="1518" xr:uid="{00000000-0005-0000-0000-0000E5050000}"/>
    <cellStyle name="20% - Accent2 2 5 4 3" xfId="1519" xr:uid="{00000000-0005-0000-0000-0000E6050000}"/>
    <cellStyle name="20% - Accent2 2 5 5" xfId="1520" xr:uid="{00000000-0005-0000-0000-0000E7050000}"/>
    <cellStyle name="20% - Accent2 2 5 5 2" xfId="1521" xr:uid="{00000000-0005-0000-0000-0000E8050000}"/>
    <cellStyle name="20% - Accent2 2 5 6" xfId="1522" xr:uid="{00000000-0005-0000-0000-0000E9050000}"/>
    <cellStyle name="20% - Accent2 2 6" xfId="1523" xr:uid="{00000000-0005-0000-0000-0000EA050000}"/>
    <cellStyle name="20% - Accent2 2 6 2" xfId="1524" xr:uid="{00000000-0005-0000-0000-0000EB050000}"/>
    <cellStyle name="20% - Accent2 2 6 2 2" xfId="1525" xr:uid="{00000000-0005-0000-0000-0000EC050000}"/>
    <cellStyle name="20% - Accent2 2 6 2 2 2" xfId="1526" xr:uid="{00000000-0005-0000-0000-0000ED050000}"/>
    <cellStyle name="20% - Accent2 2 6 2 2 2 2" xfId="1527" xr:uid="{00000000-0005-0000-0000-0000EE050000}"/>
    <cellStyle name="20% - Accent2 2 6 2 2 3" xfId="1528" xr:uid="{00000000-0005-0000-0000-0000EF050000}"/>
    <cellStyle name="20% - Accent2 2 6 2 3" xfId="1529" xr:uid="{00000000-0005-0000-0000-0000F0050000}"/>
    <cellStyle name="20% - Accent2 2 6 2 3 2" xfId="1530" xr:uid="{00000000-0005-0000-0000-0000F1050000}"/>
    <cellStyle name="20% - Accent2 2 6 2 4" xfId="1531" xr:uid="{00000000-0005-0000-0000-0000F2050000}"/>
    <cellStyle name="20% - Accent2 2 6 3" xfId="1532" xr:uid="{00000000-0005-0000-0000-0000F3050000}"/>
    <cellStyle name="20% - Accent2 2 6 3 2" xfId="1533" xr:uid="{00000000-0005-0000-0000-0000F4050000}"/>
    <cellStyle name="20% - Accent2 2 6 3 2 2" xfId="1534" xr:uid="{00000000-0005-0000-0000-0000F5050000}"/>
    <cellStyle name="20% - Accent2 2 6 3 3" xfId="1535" xr:uid="{00000000-0005-0000-0000-0000F6050000}"/>
    <cellStyle name="20% - Accent2 2 6 4" xfId="1536" xr:uid="{00000000-0005-0000-0000-0000F7050000}"/>
    <cellStyle name="20% - Accent2 2 6 4 2" xfId="1537" xr:uid="{00000000-0005-0000-0000-0000F8050000}"/>
    <cellStyle name="20% - Accent2 2 6 5" xfId="1538" xr:uid="{00000000-0005-0000-0000-0000F9050000}"/>
    <cellStyle name="20% - Accent2 2 7" xfId="1539" xr:uid="{00000000-0005-0000-0000-0000FA050000}"/>
    <cellStyle name="20% - Accent2 2 7 2" xfId="1540" xr:uid="{00000000-0005-0000-0000-0000FB050000}"/>
    <cellStyle name="20% - Accent2 2 7 2 2" xfId="1541" xr:uid="{00000000-0005-0000-0000-0000FC050000}"/>
    <cellStyle name="20% - Accent2 2 7 2 2 2" xfId="1542" xr:uid="{00000000-0005-0000-0000-0000FD050000}"/>
    <cellStyle name="20% - Accent2 2 7 2 3" xfId="1543" xr:uid="{00000000-0005-0000-0000-0000FE050000}"/>
    <cellStyle name="20% - Accent2 2 7 3" xfId="1544" xr:uid="{00000000-0005-0000-0000-0000FF050000}"/>
    <cellStyle name="20% - Accent2 2 7 3 2" xfId="1545" xr:uid="{00000000-0005-0000-0000-000000060000}"/>
    <cellStyle name="20% - Accent2 2 7 4" xfId="1546" xr:uid="{00000000-0005-0000-0000-000001060000}"/>
    <cellStyle name="20% - Accent2 2 8" xfId="1547" xr:uid="{00000000-0005-0000-0000-000002060000}"/>
    <cellStyle name="20% - Accent2 2 8 2" xfId="1548" xr:uid="{00000000-0005-0000-0000-000003060000}"/>
    <cellStyle name="20% - Accent2 2 8 2 2" xfId="1549" xr:uid="{00000000-0005-0000-0000-000004060000}"/>
    <cellStyle name="20% - Accent2 2 8 3" xfId="1550" xr:uid="{00000000-0005-0000-0000-000005060000}"/>
    <cellStyle name="20% - Accent2 2 9" xfId="1551" xr:uid="{00000000-0005-0000-0000-000006060000}"/>
    <cellStyle name="20% - Accent2 2 9 2" xfId="1552" xr:uid="{00000000-0005-0000-0000-000007060000}"/>
    <cellStyle name="20% - Accent2 3" xfId="1553" xr:uid="{00000000-0005-0000-0000-000008060000}"/>
    <cellStyle name="20% - Accent2 3 2" xfId="1554" xr:uid="{00000000-0005-0000-0000-000009060000}"/>
    <cellStyle name="20% - Accent2 3 2 2" xfId="1555" xr:uid="{00000000-0005-0000-0000-00000A060000}"/>
    <cellStyle name="20% - Accent2 3 2 2 2" xfId="1556" xr:uid="{00000000-0005-0000-0000-00000B060000}"/>
    <cellStyle name="20% - Accent2 3 2 2 2 2" xfId="1557" xr:uid="{00000000-0005-0000-0000-00000C060000}"/>
    <cellStyle name="20% - Accent2 3 2 2 2 2 2" xfId="1558" xr:uid="{00000000-0005-0000-0000-00000D060000}"/>
    <cellStyle name="20% - Accent2 3 2 2 2 2 2 2" xfId="1559" xr:uid="{00000000-0005-0000-0000-00000E060000}"/>
    <cellStyle name="20% - Accent2 3 2 2 2 2 2 2 2" xfId="1560" xr:uid="{00000000-0005-0000-0000-00000F060000}"/>
    <cellStyle name="20% - Accent2 3 2 2 2 2 2 2 2 2" xfId="1561" xr:uid="{00000000-0005-0000-0000-000010060000}"/>
    <cellStyle name="20% - Accent2 3 2 2 2 2 2 2 3" xfId="1562" xr:uid="{00000000-0005-0000-0000-000011060000}"/>
    <cellStyle name="20% - Accent2 3 2 2 2 2 2 3" xfId="1563" xr:uid="{00000000-0005-0000-0000-000012060000}"/>
    <cellStyle name="20% - Accent2 3 2 2 2 2 2 3 2" xfId="1564" xr:uid="{00000000-0005-0000-0000-000013060000}"/>
    <cellStyle name="20% - Accent2 3 2 2 2 2 2 4" xfId="1565" xr:uid="{00000000-0005-0000-0000-000014060000}"/>
    <cellStyle name="20% - Accent2 3 2 2 2 2 3" xfId="1566" xr:uid="{00000000-0005-0000-0000-000015060000}"/>
    <cellStyle name="20% - Accent2 3 2 2 2 2 3 2" xfId="1567" xr:uid="{00000000-0005-0000-0000-000016060000}"/>
    <cellStyle name="20% - Accent2 3 2 2 2 2 3 2 2" xfId="1568" xr:uid="{00000000-0005-0000-0000-000017060000}"/>
    <cellStyle name="20% - Accent2 3 2 2 2 2 3 3" xfId="1569" xr:uid="{00000000-0005-0000-0000-000018060000}"/>
    <cellStyle name="20% - Accent2 3 2 2 2 2 4" xfId="1570" xr:uid="{00000000-0005-0000-0000-000019060000}"/>
    <cellStyle name="20% - Accent2 3 2 2 2 2 4 2" xfId="1571" xr:uid="{00000000-0005-0000-0000-00001A060000}"/>
    <cellStyle name="20% - Accent2 3 2 2 2 2 5" xfId="1572" xr:uid="{00000000-0005-0000-0000-00001B060000}"/>
    <cellStyle name="20% - Accent2 3 2 2 2 3" xfId="1573" xr:uid="{00000000-0005-0000-0000-00001C060000}"/>
    <cellStyle name="20% - Accent2 3 2 2 2 3 2" xfId="1574" xr:uid="{00000000-0005-0000-0000-00001D060000}"/>
    <cellStyle name="20% - Accent2 3 2 2 2 3 2 2" xfId="1575" xr:uid="{00000000-0005-0000-0000-00001E060000}"/>
    <cellStyle name="20% - Accent2 3 2 2 2 3 2 2 2" xfId="1576" xr:uid="{00000000-0005-0000-0000-00001F060000}"/>
    <cellStyle name="20% - Accent2 3 2 2 2 3 2 3" xfId="1577" xr:uid="{00000000-0005-0000-0000-000020060000}"/>
    <cellStyle name="20% - Accent2 3 2 2 2 3 3" xfId="1578" xr:uid="{00000000-0005-0000-0000-000021060000}"/>
    <cellStyle name="20% - Accent2 3 2 2 2 3 3 2" xfId="1579" xr:uid="{00000000-0005-0000-0000-000022060000}"/>
    <cellStyle name="20% - Accent2 3 2 2 2 3 4" xfId="1580" xr:uid="{00000000-0005-0000-0000-000023060000}"/>
    <cellStyle name="20% - Accent2 3 2 2 2 4" xfId="1581" xr:uid="{00000000-0005-0000-0000-000024060000}"/>
    <cellStyle name="20% - Accent2 3 2 2 2 4 2" xfId="1582" xr:uid="{00000000-0005-0000-0000-000025060000}"/>
    <cellStyle name="20% - Accent2 3 2 2 2 4 2 2" xfId="1583" xr:uid="{00000000-0005-0000-0000-000026060000}"/>
    <cellStyle name="20% - Accent2 3 2 2 2 4 3" xfId="1584" xr:uid="{00000000-0005-0000-0000-000027060000}"/>
    <cellStyle name="20% - Accent2 3 2 2 2 5" xfId="1585" xr:uid="{00000000-0005-0000-0000-000028060000}"/>
    <cellStyle name="20% - Accent2 3 2 2 2 5 2" xfId="1586" xr:uid="{00000000-0005-0000-0000-000029060000}"/>
    <cellStyle name="20% - Accent2 3 2 2 2 6" xfId="1587" xr:uid="{00000000-0005-0000-0000-00002A060000}"/>
    <cellStyle name="20% - Accent2 3 2 2 3" xfId="1588" xr:uid="{00000000-0005-0000-0000-00002B060000}"/>
    <cellStyle name="20% - Accent2 3 2 2 3 2" xfId="1589" xr:uid="{00000000-0005-0000-0000-00002C060000}"/>
    <cellStyle name="20% - Accent2 3 2 2 3 2 2" xfId="1590" xr:uid="{00000000-0005-0000-0000-00002D060000}"/>
    <cellStyle name="20% - Accent2 3 2 2 3 2 2 2" xfId="1591" xr:uid="{00000000-0005-0000-0000-00002E060000}"/>
    <cellStyle name="20% - Accent2 3 2 2 3 2 2 2 2" xfId="1592" xr:uid="{00000000-0005-0000-0000-00002F060000}"/>
    <cellStyle name="20% - Accent2 3 2 2 3 2 2 3" xfId="1593" xr:uid="{00000000-0005-0000-0000-000030060000}"/>
    <cellStyle name="20% - Accent2 3 2 2 3 2 3" xfId="1594" xr:uid="{00000000-0005-0000-0000-000031060000}"/>
    <cellStyle name="20% - Accent2 3 2 2 3 2 3 2" xfId="1595" xr:uid="{00000000-0005-0000-0000-000032060000}"/>
    <cellStyle name="20% - Accent2 3 2 2 3 2 4" xfId="1596" xr:uid="{00000000-0005-0000-0000-000033060000}"/>
    <cellStyle name="20% - Accent2 3 2 2 3 3" xfId="1597" xr:uid="{00000000-0005-0000-0000-000034060000}"/>
    <cellStyle name="20% - Accent2 3 2 2 3 3 2" xfId="1598" xr:uid="{00000000-0005-0000-0000-000035060000}"/>
    <cellStyle name="20% - Accent2 3 2 2 3 3 2 2" xfId="1599" xr:uid="{00000000-0005-0000-0000-000036060000}"/>
    <cellStyle name="20% - Accent2 3 2 2 3 3 3" xfId="1600" xr:uid="{00000000-0005-0000-0000-000037060000}"/>
    <cellStyle name="20% - Accent2 3 2 2 3 4" xfId="1601" xr:uid="{00000000-0005-0000-0000-000038060000}"/>
    <cellStyle name="20% - Accent2 3 2 2 3 4 2" xfId="1602" xr:uid="{00000000-0005-0000-0000-000039060000}"/>
    <cellStyle name="20% - Accent2 3 2 2 3 5" xfId="1603" xr:uid="{00000000-0005-0000-0000-00003A060000}"/>
    <cellStyle name="20% - Accent2 3 2 2 4" xfId="1604" xr:uid="{00000000-0005-0000-0000-00003B060000}"/>
    <cellStyle name="20% - Accent2 3 2 2 4 2" xfId="1605" xr:uid="{00000000-0005-0000-0000-00003C060000}"/>
    <cellStyle name="20% - Accent2 3 2 2 4 2 2" xfId="1606" xr:uid="{00000000-0005-0000-0000-00003D060000}"/>
    <cellStyle name="20% - Accent2 3 2 2 4 2 2 2" xfId="1607" xr:uid="{00000000-0005-0000-0000-00003E060000}"/>
    <cellStyle name="20% - Accent2 3 2 2 4 2 3" xfId="1608" xr:uid="{00000000-0005-0000-0000-00003F060000}"/>
    <cellStyle name="20% - Accent2 3 2 2 4 3" xfId="1609" xr:uid="{00000000-0005-0000-0000-000040060000}"/>
    <cellStyle name="20% - Accent2 3 2 2 4 3 2" xfId="1610" xr:uid="{00000000-0005-0000-0000-000041060000}"/>
    <cellStyle name="20% - Accent2 3 2 2 4 4" xfId="1611" xr:uid="{00000000-0005-0000-0000-000042060000}"/>
    <cellStyle name="20% - Accent2 3 2 2 5" xfId="1612" xr:uid="{00000000-0005-0000-0000-000043060000}"/>
    <cellStyle name="20% - Accent2 3 2 2 5 2" xfId="1613" xr:uid="{00000000-0005-0000-0000-000044060000}"/>
    <cellStyle name="20% - Accent2 3 2 2 5 2 2" xfId="1614" xr:uid="{00000000-0005-0000-0000-000045060000}"/>
    <cellStyle name="20% - Accent2 3 2 2 5 3" xfId="1615" xr:uid="{00000000-0005-0000-0000-000046060000}"/>
    <cellStyle name="20% - Accent2 3 2 2 6" xfId="1616" xr:uid="{00000000-0005-0000-0000-000047060000}"/>
    <cellStyle name="20% - Accent2 3 2 2 6 2" xfId="1617" xr:uid="{00000000-0005-0000-0000-000048060000}"/>
    <cellStyle name="20% - Accent2 3 2 2 7" xfId="1618" xr:uid="{00000000-0005-0000-0000-000049060000}"/>
    <cellStyle name="20% - Accent2 3 2 3" xfId="1619" xr:uid="{00000000-0005-0000-0000-00004A060000}"/>
    <cellStyle name="20% - Accent2 3 2 3 2" xfId="1620" xr:uid="{00000000-0005-0000-0000-00004B060000}"/>
    <cellStyle name="20% - Accent2 3 2 3 2 2" xfId="1621" xr:uid="{00000000-0005-0000-0000-00004C060000}"/>
    <cellStyle name="20% - Accent2 3 2 3 2 2 2" xfId="1622" xr:uid="{00000000-0005-0000-0000-00004D060000}"/>
    <cellStyle name="20% - Accent2 3 2 3 2 2 2 2" xfId="1623" xr:uid="{00000000-0005-0000-0000-00004E060000}"/>
    <cellStyle name="20% - Accent2 3 2 3 2 2 2 2 2" xfId="1624" xr:uid="{00000000-0005-0000-0000-00004F060000}"/>
    <cellStyle name="20% - Accent2 3 2 3 2 2 2 3" xfId="1625" xr:uid="{00000000-0005-0000-0000-000050060000}"/>
    <cellStyle name="20% - Accent2 3 2 3 2 2 3" xfId="1626" xr:uid="{00000000-0005-0000-0000-000051060000}"/>
    <cellStyle name="20% - Accent2 3 2 3 2 2 3 2" xfId="1627" xr:uid="{00000000-0005-0000-0000-000052060000}"/>
    <cellStyle name="20% - Accent2 3 2 3 2 2 4" xfId="1628" xr:uid="{00000000-0005-0000-0000-000053060000}"/>
    <cellStyle name="20% - Accent2 3 2 3 2 3" xfId="1629" xr:uid="{00000000-0005-0000-0000-000054060000}"/>
    <cellStyle name="20% - Accent2 3 2 3 2 3 2" xfId="1630" xr:uid="{00000000-0005-0000-0000-000055060000}"/>
    <cellStyle name="20% - Accent2 3 2 3 2 3 2 2" xfId="1631" xr:uid="{00000000-0005-0000-0000-000056060000}"/>
    <cellStyle name="20% - Accent2 3 2 3 2 3 3" xfId="1632" xr:uid="{00000000-0005-0000-0000-000057060000}"/>
    <cellStyle name="20% - Accent2 3 2 3 2 4" xfId="1633" xr:uid="{00000000-0005-0000-0000-000058060000}"/>
    <cellStyle name="20% - Accent2 3 2 3 2 4 2" xfId="1634" xr:uid="{00000000-0005-0000-0000-000059060000}"/>
    <cellStyle name="20% - Accent2 3 2 3 2 5" xfId="1635" xr:uid="{00000000-0005-0000-0000-00005A060000}"/>
    <cellStyle name="20% - Accent2 3 2 3 3" xfId="1636" xr:uid="{00000000-0005-0000-0000-00005B060000}"/>
    <cellStyle name="20% - Accent2 3 2 3 3 2" xfId="1637" xr:uid="{00000000-0005-0000-0000-00005C060000}"/>
    <cellStyle name="20% - Accent2 3 2 3 3 2 2" xfId="1638" xr:uid="{00000000-0005-0000-0000-00005D060000}"/>
    <cellStyle name="20% - Accent2 3 2 3 3 2 2 2" xfId="1639" xr:uid="{00000000-0005-0000-0000-00005E060000}"/>
    <cellStyle name="20% - Accent2 3 2 3 3 2 3" xfId="1640" xr:uid="{00000000-0005-0000-0000-00005F060000}"/>
    <cellStyle name="20% - Accent2 3 2 3 3 3" xfId="1641" xr:uid="{00000000-0005-0000-0000-000060060000}"/>
    <cellStyle name="20% - Accent2 3 2 3 3 3 2" xfId="1642" xr:uid="{00000000-0005-0000-0000-000061060000}"/>
    <cellStyle name="20% - Accent2 3 2 3 3 4" xfId="1643" xr:uid="{00000000-0005-0000-0000-000062060000}"/>
    <cellStyle name="20% - Accent2 3 2 3 4" xfId="1644" xr:uid="{00000000-0005-0000-0000-000063060000}"/>
    <cellStyle name="20% - Accent2 3 2 3 4 2" xfId="1645" xr:uid="{00000000-0005-0000-0000-000064060000}"/>
    <cellStyle name="20% - Accent2 3 2 3 4 2 2" xfId="1646" xr:uid="{00000000-0005-0000-0000-000065060000}"/>
    <cellStyle name="20% - Accent2 3 2 3 4 3" xfId="1647" xr:uid="{00000000-0005-0000-0000-000066060000}"/>
    <cellStyle name="20% - Accent2 3 2 3 5" xfId="1648" xr:uid="{00000000-0005-0000-0000-000067060000}"/>
    <cellStyle name="20% - Accent2 3 2 3 5 2" xfId="1649" xr:uid="{00000000-0005-0000-0000-000068060000}"/>
    <cellStyle name="20% - Accent2 3 2 3 6" xfId="1650" xr:uid="{00000000-0005-0000-0000-000069060000}"/>
    <cellStyle name="20% - Accent2 3 2 4" xfId="1651" xr:uid="{00000000-0005-0000-0000-00006A060000}"/>
    <cellStyle name="20% - Accent2 3 2 4 2" xfId="1652" xr:uid="{00000000-0005-0000-0000-00006B060000}"/>
    <cellStyle name="20% - Accent2 3 2 4 2 2" xfId="1653" xr:uid="{00000000-0005-0000-0000-00006C060000}"/>
    <cellStyle name="20% - Accent2 3 2 4 2 2 2" xfId="1654" xr:uid="{00000000-0005-0000-0000-00006D060000}"/>
    <cellStyle name="20% - Accent2 3 2 4 2 2 2 2" xfId="1655" xr:uid="{00000000-0005-0000-0000-00006E060000}"/>
    <cellStyle name="20% - Accent2 3 2 4 2 2 3" xfId="1656" xr:uid="{00000000-0005-0000-0000-00006F060000}"/>
    <cellStyle name="20% - Accent2 3 2 4 2 3" xfId="1657" xr:uid="{00000000-0005-0000-0000-000070060000}"/>
    <cellStyle name="20% - Accent2 3 2 4 2 3 2" xfId="1658" xr:uid="{00000000-0005-0000-0000-000071060000}"/>
    <cellStyle name="20% - Accent2 3 2 4 2 4" xfId="1659" xr:uid="{00000000-0005-0000-0000-000072060000}"/>
    <cellStyle name="20% - Accent2 3 2 4 3" xfId="1660" xr:uid="{00000000-0005-0000-0000-000073060000}"/>
    <cellStyle name="20% - Accent2 3 2 4 3 2" xfId="1661" xr:uid="{00000000-0005-0000-0000-000074060000}"/>
    <cellStyle name="20% - Accent2 3 2 4 3 2 2" xfId="1662" xr:uid="{00000000-0005-0000-0000-000075060000}"/>
    <cellStyle name="20% - Accent2 3 2 4 3 3" xfId="1663" xr:uid="{00000000-0005-0000-0000-000076060000}"/>
    <cellStyle name="20% - Accent2 3 2 4 4" xfId="1664" xr:uid="{00000000-0005-0000-0000-000077060000}"/>
    <cellStyle name="20% - Accent2 3 2 4 4 2" xfId="1665" xr:uid="{00000000-0005-0000-0000-000078060000}"/>
    <cellStyle name="20% - Accent2 3 2 4 5" xfId="1666" xr:uid="{00000000-0005-0000-0000-000079060000}"/>
    <cellStyle name="20% - Accent2 3 2 5" xfId="1667" xr:uid="{00000000-0005-0000-0000-00007A060000}"/>
    <cellStyle name="20% - Accent2 3 2 5 2" xfId="1668" xr:uid="{00000000-0005-0000-0000-00007B060000}"/>
    <cellStyle name="20% - Accent2 3 2 5 2 2" xfId="1669" xr:uid="{00000000-0005-0000-0000-00007C060000}"/>
    <cellStyle name="20% - Accent2 3 2 5 2 2 2" xfId="1670" xr:uid="{00000000-0005-0000-0000-00007D060000}"/>
    <cellStyle name="20% - Accent2 3 2 5 2 3" xfId="1671" xr:uid="{00000000-0005-0000-0000-00007E060000}"/>
    <cellStyle name="20% - Accent2 3 2 5 3" xfId="1672" xr:uid="{00000000-0005-0000-0000-00007F060000}"/>
    <cellStyle name="20% - Accent2 3 2 5 3 2" xfId="1673" xr:uid="{00000000-0005-0000-0000-000080060000}"/>
    <cellStyle name="20% - Accent2 3 2 5 4" xfId="1674" xr:uid="{00000000-0005-0000-0000-000081060000}"/>
    <cellStyle name="20% - Accent2 3 2 6" xfId="1675" xr:uid="{00000000-0005-0000-0000-000082060000}"/>
    <cellStyle name="20% - Accent2 3 2 6 2" xfId="1676" xr:uid="{00000000-0005-0000-0000-000083060000}"/>
    <cellStyle name="20% - Accent2 3 2 6 2 2" xfId="1677" xr:uid="{00000000-0005-0000-0000-000084060000}"/>
    <cellStyle name="20% - Accent2 3 2 6 3" xfId="1678" xr:uid="{00000000-0005-0000-0000-000085060000}"/>
    <cellStyle name="20% - Accent2 3 2 7" xfId="1679" xr:uid="{00000000-0005-0000-0000-000086060000}"/>
    <cellStyle name="20% - Accent2 3 2 7 2" xfId="1680" xr:uid="{00000000-0005-0000-0000-000087060000}"/>
    <cellStyle name="20% - Accent2 3 2 8" xfId="1681" xr:uid="{00000000-0005-0000-0000-000088060000}"/>
    <cellStyle name="20% - Accent2 3 3" xfId="1682" xr:uid="{00000000-0005-0000-0000-000089060000}"/>
    <cellStyle name="20% - Accent2 3 3 2" xfId="1683" xr:uid="{00000000-0005-0000-0000-00008A060000}"/>
    <cellStyle name="20% - Accent2 3 3 2 2" xfId="1684" xr:uid="{00000000-0005-0000-0000-00008B060000}"/>
    <cellStyle name="20% - Accent2 3 3 2 2 2" xfId="1685" xr:uid="{00000000-0005-0000-0000-00008C060000}"/>
    <cellStyle name="20% - Accent2 3 3 2 2 2 2" xfId="1686" xr:uid="{00000000-0005-0000-0000-00008D060000}"/>
    <cellStyle name="20% - Accent2 3 3 2 2 2 2 2" xfId="1687" xr:uid="{00000000-0005-0000-0000-00008E060000}"/>
    <cellStyle name="20% - Accent2 3 3 2 2 2 2 2 2" xfId="1688" xr:uid="{00000000-0005-0000-0000-00008F060000}"/>
    <cellStyle name="20% - Accent2 3 3 2 2 2 2 3" xfId="1689" xr:uid="{00000000-0005-0000-0000-000090060000}"/>
    <cellStyle name="20% - Accent2 3 3 2 2 2 3" xfId="1690" xr:uid="{00000000-0005-0000-0000-000091060000}"/>
    <cellStyle name="20% - Accent2 3 3 2 2 2 3 2" xfId="1691" xr:uid="{00000000-0005-0000-0000-000092060000}"/>
    <cellStyle name="20% - Accent2 3 3 2 2 2 4" xfId="1692" xr:uid="{00000000-0005-0000-0000-000093060000}"/>
    <cellStyle name="20% - Accent2 3 3 2 2 3" xfId="1693" xr:uid="{00000000-0005-0000-0000-000094060000}"/>
    <cellStyle name="20% - Accent2 3 3 2 2 3 2" xfId="1694" xr:uid="{00000000-0005-0000-0000-000095060000}"/>
    <cellStyle name="20% - Accent2 3 3 2 2 3 2 2" xfId="1695" xr:uid="{00000000-0005-0000-0000-000096060000}"/>
    <cellStyle name="20% - Accent2 3 3 2 2 3 3" xfId="1696" xr:uid="{00000000-0005-0000-0000-000097060000}"/>
    <cellStyle name="20% - Accent2 3 3 2 2 4" xfId="1697" xr:uid="{00000000-0005-0000-0000-000098060000}"/>
    <cellStyle name="20% - Accent2 3 3 2 2 4 2" xfId="1698" xr:uid="{00000000-0005-0000-0000-000099060000}"/>
    <cellStyle name="20% - Accent2 3 3 2 2 5" xfId="1699" xr:uid="{00000000-0005-0000-0000-00009A060000}"/>
    <cellStyle name="20% - Accent2 3 3 2 3" xfId="1700" xr:uid="{00000000-0005-0000-0000-00009B060000}"/>
    <cellStyle name="20% - Accent2 3 3 2 3 2" xfId="1701" xr:uid="{00000000-0005-0000-0000-00009C060000}"/>
    <cellStyle name="20% - Accent2 3 3 2 3 2 2" xfId="1702" xr:uid="{00000000-0005-0000-0000-00009D060000}"/>
    <cellStyle name="20% - Accent2 3 3 2 3 2 2 2" xfId="1703" xr:uid="{00000000-0005-0000-0000-00009E060000}"/>
    <cellStyle name="20% - Accent2 3 3 2 3 2 3" xfId="1704" xr:uid="{00000000-0005-0000-0000-00009F060000}"/>
    <cellStyle name="20% - Accent2 3 3 2 3 3" xfId="1705" xr:uid="{00000000-0005-0000-0000-0000A0060000}"/>
    <cellStyle name="20% - Accent2 3 3 2 3 3 2" xfId="1706" xr:uid="{00000000-0005-0000-0000-0000A1060000}"/>
    <cellStyle name="20% - Accent2 3 3 2 3 4" xfId="1707" xr:uid="{00000000-0005-0000-0000-0000A2060000}"/>
    <cellStyle name="20% - Accent2 3 3 2 4" xfId="1708" xr:uid="{00000000-0005-0000-0000-0000A3060000}"/>
    <cellStyle name="20% - Accent2 3 3 2 4 2" xfId="1709" xr:uid="{00000000-0005-0000-0000-0000A4060000}"/>
    <cellStyle name="20% - Accent2 3 3 2 4 2 2" xfId="1710" xr:uid="{00000000-0005-0000-0000-0000A5060000}"/>
    <cellStyle name="20% - Accent2 3 3 2 4 3" xfId="1711" xr:uid="{00000000-0005-0000-0000-0000A6060000}"/>
    <cellStyle name="20% - Accent2 3 3 2 5" xfId="1712" xr:uid="{00000000-0005-0000-0000-0000A7060000}"/>
    <cellStyle name="20% - Accent2 3 3 2 5 2" xfId="1713" xr:uid="{00000000-0005-0000-0000-0000A8060000}"/>
    <cellStyle name="20% - Accent2 3 3 2 6" xfId="1714" xr:uid="{00000000-0005-0000-0000-0000A9060000}"/>
    <cellStyle name="20% - Accent2 3 3 3" xfId="1715" xr:uid="{00000000-0005-0000-0000-0000AA060000}"/>
    <cellStyle name="20% - Accent2 3 3 3 2" xfId="1716" xr:uid="{00000000-0005-0000-0000-0000AB060000}"/>
    <cellStyle name="20% - Accent2 3 3 3 2 2" xfId="1717" xr:uid="{00000000-0005-0000-0000-0000AC060000}"/>
    <cellStyle name="20% - Accent2 3 3 3 2 2 2" xfId="1718" xr:uid="{00000000-0005-0000-0000-0000AD060000}"/>
    <cellStyle name="20% - Accent2 3 3 3 2 2 2 2" xfId="1719" xr:uid="{00000000-0005-0000-0000-0000AE060000}"/>
    <cellStyle name="20% - Accent2 3 3 3 2 2 3" xfId="1720" xr:uid="{00000000-0005-0000-0000-0000AF060000}"/>
    <cellStyle name="20% - Accent2 3 3 3 2 3" xfId="1721" xr:uid="{00000000-0005-0000-0000-0000B0060000}"/>
    <cellStyle name="20% - Accent2 3 3 3 2 3 2" xfId="1722" xr:uid="{00000000-0005-0000-0000-0000B1060000}"/>
    <cellStyle name="20% - Accent2 3 3 3 2 4" xfId="1723" xr:uid="{00000000-0005-0000-0000-0000B2060000}"/>
    <cellStyle name="20% - Accent2 3 3 3 3" xfId="1724" xr:uid="{00000000-0005-0000-0000-0000B3060000}"/>
    <cellStyle name="20% - Accent2 3 3 3 3 2" xfId="1725" xr:uid="{00000000-0005-0000-0000-0000B4060000}"/>
    <cellStyle name="20% - Accent2 3 3 3 3 2 2" xfId="1726" xr:uid="{00000000-0005-0000-0000-0000B5060000}"/>
    <cellStyle name="20% - Accent2 3 3 3 3 3" xfId="1727" xr:uid="{00000000-0005-0000-0000-0000B6060000}"/>
    <cellStyle name="20% - Accent2 3 3 3 4" xfId="1728" xr:uid="{00000000-0005-0000-0000-0000B7060000}"/>
    <cellStyle name="20% - Accent2 3 3 3 4 2" xfId="1729" xr:uid="{00000000-0005-0000-0000-0000B8060000}"/>
    <cellStyle name="20% - Accent2 3 3 3 5" xfId="1730" xr:uid="{00000000-0005-0000-0000-0000B9060000}"/>
    <cellStyle name="20% - Accent2 3 3 4" xfId="1731" xr:uid="{00000000-0005-0000-0000-0000BA060000}"/>
    <cellStyle name="20% - Accent2 3 3 4 2" xfId="1732" xr:uid="{00000000-0005-0000-0000-0000BB060000}"/>
    <cellStyle name="20% - Accent2 3 3 4 2 2" xfId="1733" xr:uid="{00000000-0005-0000-0000-0000BC060000}"/>
    <cellStyle name="20% - Accent2 3 3 4 2 2 2" xfId="1734" xr:uid="{00000000-0005-0000-0000-0000BD060000}"/>
    <cellStyle name="20% - Accent2 3 3 4 2 3" xfId="1735" xr:uid="{00000000-0005-0000-0000-0000BE060000}"/>
    <cellStyle name="20% - Accent2 3 3 4 3" xfId="1736" xr:uid="{00000000-0005-0000-0000-0000BF060000}"/>
    <cellStyle name="20% - Accent2 3 3 4 3 2" xfId="1737" xr:uid="{00000000-0005-0000-0000-0000C0060000}"/>
    <cellStyle name="20% - Accent2 3 3 4 4" xfId="1738" xr:uid="{00000000-0005-0000-0000-0000C1060000}"/>
    <cellStyle name="20% - Accent2 3 3 5" xfId="1739" xr:uid="{00000000-0005-0000-0000-0000C2060000}"/>
    <cellStyle name="20% - Accent2 3 3 5 2" xfId="1740" xr:uid="{00000000-0005-0000-0000-0000C3060000}"/>
    <cellStyle name="20% - Accent2 3 3 5 2 2" xfId="1741" xr:uid="{00000000-0005-0000-0000-0000C4060000}"/>
    <cellStyle name="20% - Accent2 3 3 5 3" xfId="1742" xr:uid="{00000000-0005-0000-0000-0000C5060000}"/>
    <cellStyle name="20% - Accent2 3 3 6" xfId="1743" xr:uid="{00000000-0005-0000-0000-0000C6060000}"/>
    <cellStyle name="20% - Accent2 3 3 6 2" xfId="1744" xr:uid="{00000000-0005-0000-0000-0000C7060000}"/>
    <cellStyle name="20% - Accent2 3 3 7" xfId="1745" xr:uid="{00000000-0005-0000-0000-0000C8060000}"/>
    <cellStyle name="20% - Accent2 3 4" xfId="1746" xr:uid="{00000000-0005-0000-0000-0000C9060000}"/>
    <cellStyle name="20% - Accent2 3 4 2" xfId="1747" xr:uid="{00000000-0005-0000-0000-0000CA060000}"/>
    <cellStyle name="20% - Accent2 3 4 2 2" xfId="1748" xr:uid="{00000000-0005-0000-0000-0000CB060000}"/>
    <cellStyle name="20% - Accent2 3 4 2 2 2" xfId="1749" xr:uid="{00000000-0005-0000-0000-0000CC060000}"/>
    <cellStyle name="20% - Accent2 3 4 2 2 2 2" xfId="1750" xr:uid="{00000000-0005-0000-0000-0000CD060000}"/>
    <cellStyle name="20% - Accent2 3 4 2 2 2 2 2" xfId="1751" xr:uid="{00000000-0005-0000-0000-0000CE060000}"/>
    <cellStyle name="20% - Accent2 3 4 2 2 2 3" xfId="1752" xr:uid="{00000000-0005-0000-0000-0000CF060000}"/>
    <cellStyle name="20% - Accent2 3 4 2 2 3" xfId="1753" xr:uid="{00000000-0005-0000-0000-0000D0060000}"/>
    <cellStyle name="20% - Accent2 3 4 2 2 3 2" xfId="1754" xr:uid="{00000000-0005-0000-0000-0000D1060000}"/>
    <cellStyle name="20% - Accent2 3 4 2 2 4" xfId="1755" xr:uid="{00000000-0005-0000-0000-0000D2060000}"/>
    <cellStyle name="20% - Accent2 3 4 2 3" xfId="1756" xr:uid="{00000000-0005-0000-0000-0000D3060000}"/>
    <cellStyle name="20% - Accent2 3 4 2 3 2" xfId="1757" xr:uid="{00000000-0005-0000-0000-0000D4060000}"/>
    <cellStyle name="20% - Accent2 3 4 2 3 2 2" xfId="1758" xr:uid="{00000000-0005-0000-0000-0000D5060000}"/>
    <cellStyle name="20% - Accent2 3 4 2 3 3" xfId="1759" xr:uid="{00000000-0005-0000-0000-0000D6060000}"/>
    <cellStyle name="20% - Accent2 3 4 2 4" xfId="1760" xr:uid="{00000000-0005-0000-0000-0000D7060000}"/>
    <cellStyle name="20% - Accent2 3 4 2 4 2" xfId="1761" xr:uid="{00000000-0005-0000-0000-0000D8060000}"/>
    <cellStyle name="20% - Accent2 3 4 2 5" xfId="1762" xr:uid="{00000000-0005-0000-0000-0000D9060000}"/>
    <cellStyle name="20% - Accent2 3 4 3" xfId="1763" xr:uid="{00000000-0005-0000-0000-0000DA060000}"/>
    <cellStyle name="20% - Accent2 3 4 3 2" xfId="1764" xr:uid="{00000000-0005-0000-0000-0000DB060000}"/>
    <cellStyle name="20% - Accent2 3 4 3 2 2" xfId="1765" xr:uid="{00000000-0005-0000-0000-0000DC060000}"/>
    <cellStyle name="20% - Accent2 3 4 3 2 2 2" xfId="1766" xr:uid="{00000000-0005-0000-0000-0000DD060000}"/>
    <cellStyle name="20% - Accent2 3 4 3 2 3" xfId="1767" xr:uid="{00000000-0005-0000-0000-0000DE060000}"/>
    <cellStyle name="20% - Accent2 3 4 3 3" xfId="1768" xr:uid="{00000000-0005-0000-0000-0000DF060000}"/>
    <cellStyle name="20% - Accent2 3 4 3 3 2" xfId="1769" xr:uid="{00000000-0005-0000-0000-0000E0060000}"/>
    <cellStyle name="20% - Accent2 3 4 3 4" xfId="1770" xr:uid="{00000000-0005-0000-0000-0000E1060000}"/>
    <cellStyle name="20% - Accent2 3 4 4" xfId="1771" xr:uid="{00000000-0005-0000-0000-0000E2060000}"/>
    <cellStyle name="20% - Accent2 3 4 4 2" xfId="1772" xr:uid="{00000000-0005-0000-0000-0000E3060000}"/>
    <cellStyle name="20% - Accent2 3 4 4 2 2" xfId="1773" xr:uid="{00000000-0005-0000-0000-0000E4060000}"/>
    <cellStyle name="20% - Accent2 3 4 4 3" xfId="1774" xr:uid="{00000000-0005-0000-0000-0000E5060000}"/>
    <cellStyle name="20% - Accent2 3 4 5" xfId="1775" xr:uid="{00000000-0005-0000-0000-0000E6060000}"/>
    <cellStyle name="20% - Accent2 3 4 5 2" xfId="1776" xr:uid="{00000000-0005-0000-0000-0000E7060000}"/>
    <cellStyle name="20% - Accent2 3 4 6" xfId="1777" xr:uid="{00000000-0005-0000-0000-0000E8060000}"/>
    <cellStyle name="20% - Accent2 3 5" xfId="1778" xr:uid="{00000000-0005-0000-0000-0000E9060000}"/>
    <cellStyle name="20% - Accent2 3 5 2" xfId="1779" xr:uid="{00000000-0005-0000-0000-0000EA060000}"/>
    <cellStyle name="20% - Accent2 3 5 2 2" xfId="1780" xr:uid="{00000000-0005-0000-0000-0000EB060000}"/>
    <cellStyle name="20% - Accent2 3 5 2 2 2" xfId="1781" xr:uid="{00000000-0005-0000-0000-0000EC060000}"/>
    <cellStyle name="20% - Accent2 3 5 2 2 2 2" xfId="1782" xr:uid="{00000000-0005-0000-0000-0000ED060000}"/>
    <cellStyle name="20% - Accent2 3 5 2 2 3" xfId="1783" xr:uid="{00000000-0005-0000-0000-0000EE060000}"/>
    <cellStyle name="20% - Accent2 3 5 2 3" xfId="1784" xr:uid="{00000000-0005-0000-0000-0000EF060000}"/>
    <cellStyle name="20% - Accent2 3 5 2 3 2" xfId="1785" xr:uid="{00000000-0005-0000-0000-0000F0060000}"/>
    <cellStyle name="20% - Accent2 3 5 2 4" xfId="1786" xr:uid="{00000000-0005-0000-0000-0000F1060000}"/>
    <cellStyle name="20% - Accent2 3 5 3" xfId="1787" xr:uid="{00000000-0005-0000-0000-0000F2060000}"/>
    <cellStyle name="20% - Accent2 3 5 3 2" xfId="1788" xr:uid="{00000000-0005-0000-0000-0000F3060000}"/>
    <cellStyle name="20% - Accent2 3 5 3 2 2" xfId="1789" xr:uid="{00000000-0005-0000-0000-0000F4060000}"/>
    <cellStyle name="20% - Accent2 3 5 3 3" xfId="1790" xr:uid="{00000000-0005-0000-0000-0000F5060000}"/>
    <cellStyle name="20% - Accent2 3 5 4" xfId="1791" xr:uid="{00000000-0005-0000-0000-0000F6060000}"/>
    <cellStyle name="20% - Accent2 3 5 4 2" xfId="1792" xr:uid="{00000000-0005-0000-0000-0000F7060000}"/>
    <cellStyle name="20% - Accent2 3 5 5" xfId="1793" xr:uid="{00000000-0005-0000-0000-0000F8060000}"/>
    <cellStyle name="20% - Accent2 3 6" xfId="1794" xr:uid="{00000000-0005-0000-0000-0000F9060000}"/>
    <cellStyle name="20% - Accent2 3 6 2" xfId="1795" xr:uid="{00000000-0005-0000-0000-0000FA060000}"/>
    <cellStyle name="20% - Accent2 3 6 2 2" xfId="1796" xr:uid="{00000000-0005-0000-0000-0000FB060000}"/>
    <cellStyle name="20% - Accent2 3 6 2 2 2" xfId="1797" xr:uid="{00000000-0005-0000-0000-0000FC060000}"/>
    <cellStyle name="20% - Accent2 3 6 2 3" xfId="1798" xr:uid="{00000000-0005-0000-0000-0000FD060000}"/>
    <cellStyle name="20% - Accent2 3 6 3" xfId="1799" xr:uid="{00000000-0005-0000-0000-0000FE060000}"/>
    <cellStyle name="20% - Accent2 3 6 3 2" xfId="1800" xr:uid="{00000000-0005-0000-0000-0000FF060000}"/>
    <cellStyle name="20% - Accent2 3 6 4" xfId="1801" xr:uid="{00000000-0005-0000-0000-000000070000}"/>
    <cellStyle name="20% - Accent2 3 7" xfId="1802" xr:uid="{00000000-0005-0000-0000-000001070000}"/>
    <cellStyle name="20% - Accent2 3 7 2" xfId="1803" xr:uid="{00000000-0005-0000-0000-000002070000}"/>
    <cellStyle name="20% - Accent2 3 7 2 2" xfId="1804" xr:uid="{00000000-0005-0000-0000-000003070000}"/>
    <cellStyle name="20% - Accent2 3 7 3" xfId="1805" xr:uid="{00000000-0005-0000-0000-000004070000}"/>
    <cellStyle name="20% - Accent2 3 8" xfId="1806" xr:uid="{00000000-0005-0000-0000-000005070000}"/>
    <cellStyle name="20% - Accent2 3 8 2" xfId="1807" xr:uid="{00000000-0005-0000-0000-000006070000}"/>
    <cellStyle name="20% - Accent2 3 9" xfId="1808" xr:uid="{00000000-0005-0000-0000-000007070000}"/>
    <cellStyle name="20% - Accent2 4" xfId="1809" xr:uid="{00000000-0005-0000-0000-000008070000}"/>
    <cellStyle name="20% - Accent2 4 2" xfId="1810" xr:uid="{00000000-0005-0000-0000-000009070000}"/>
    <cellStyle name="20% - Accent2 4 2 2" xfId="1811" xr:uid="{00000000-0005-0000-0000-00000A070000}"/>
    <cellStyle name="20% - Accent2 4 2 2 2" xfId="1812" xr:uid="{00000000-0005-0000-0000-00000B070000}"/>
    <cellStyle name="20% - Accent2 4 2 2 2 2" xfId="1813" xr:uid="{00000000-0005-0000-0000-00000C070000}"/>
    <cellStyle name="20% - Accent2 4 2 2 2 2 2" xfId="1814" xr:uid="{00000000-0005-0000-0000-00000D070000}"/>
    <cellStyle name="20% - Accent2 4 2 2 2 2 2 2" xfId="1815" xr:uid="{00000000-0005-0000-0000-00000E070000}"/>
    <cellStyle name="20% - Accent2 4 2 2 2 2 2 2 2" xfId="1816" xr:uid="{00000000-0005-0000-0000-00000F070000}"/>
    <cellStyle name="20% - Accent2 4 2 2 2 2 2 3" xfId="1817" xr:uid="{00000000-0005-0000-0000-000010070000}"/>
    <cellStyle name="20% - Accent2 4 2 2 2 2 3" xfId="1818" xr:uid="{00000000-0005-0000-0000-000011070000}"/>
    <cellStyle name="20% - Accent2 4 2 2 2 2 3 2" xfId="1819" xr:uid="{00000000-0005-0000-0000-000012070000}"/>
    <cellStyle name="20% - Accent2 4 2 2 2 2 4" xfId="1820" xr:uid="{00000000-0005-0000-0000-000013070000}"/>
    <cellStyle name="20% - Accent2 4 2 2 2 3" xfId="1821" xr:uid="{00000000-0005-0000-0000-000014070000}"/>
    <cellStyle name="20% - Accent2 4 2 2 2 3 2" xfId="1822" xr:uid="{00000000-0005-0000-0000-000015070000}"/>
    <cellStyle name="20% - Accent2 4 2 2 2 3 2 2" xfId="1823" xr:uid="{00000000-0005-0000-0000-000016070000}"/>
    <cellStyle name="20% - Accent2 4 2 2 2 3 3" xfId="1824" xr:uid="{00000000-0005-0000-0000-000017070000}"/>
    <cellStyle name="20% - Accent2 4 2 2 2 4" xfId="1825" xr:uid="{00000000-0005-0000-0000-000018070000}"/>
    <cellStyle name="20% - Accent2 4 2 2 2 4 2" xfId="1826" xr:uid="{00000000-0005-0000-0000-000019070000}"/>
    <cellStyle name="20% - Accent2 4 2 2 2 5" xfId="1827" xr:uid="{00000000-0005-0000-0000-00001A070000}"/>
    <cellStyle name="20% - Accent2 4 2 2 3" xfId="1828" xr:uid="{00000000-0005-0000-0000-00001B070000}"/>
    <cellStyle name="20% - Accent2 4 2 2 3 2" xfId="1829" xr:uid="{00000000-0005-0000-0000-00001C070000}"/>
    <cellStyle name="20% - Accent2 4 2 2 3 2 2" xfId="1830" xr:uid="{00000000-0005-0000-0000-00001D070000}"/>
    <cellStyle name="20% - Accent2 4 2 2 3 2 2 2" xfId="1831" xr:uid="{00000000-0005-0000-0000-00001E070000}"/>
    <cellStyle name="20% - Accent2 4 2 2 3 2 3" xfId="1832" xr:uid="{00000000-0005-0000-0000-00001F070000}"/>
    <cellStyle name="20% - Accent2 4 2 2 3 3" xfId="1833" xr:uid="{00000000-0005-0000-0000-000020070000}"/>
    <cellStyle name="20% - Accent2 4 2 2 3 3 2" xfId="1834" xr:uid="{00000000-0005-0000-0000-000021070000}"/>
    <cellStyle name="20% - Accent2 4 2 2 3 4" xfId="1835" xr:uid="{00000000-0005-0000-0000-000022070000}"/>
    <cellStyle name="20% - Accent2 4 2 2 4" xfId="1836" xr:uid="{00000000-0005-0000-0000-000023070000}"/>
    <cellStyle name="20% - Accent2 4 2 2 4 2" xfId="1837" xr:uid="{00000000-0005-0000-0000-000024070000}"/>
    <cellStyle name="20% - Accent2 4 2 2 4 2 2" xfId="1838" xr:uid="{00000000-0005-0000-0000-000025070000}"/>
    <cellStyle name="20% - Accent2 4 2 2 4 3" xfId="1839" xr:uid="{00000000-0005-0000-0000-000026070000}"/>
    <cellStyle name="20% - Accent2 4 2 2 5" xfId="1840" xr:uid="{00000000-0005-0000-0000-000027070000}"/>
    <cellStyle name="20% - Accent2 4 2 2 5 2" xfId="1841" xr:uid="{00000000-0005-0000-0000-000028070000}"/>
    <cellStyle name="20% - Accent2 4 2 2 6" xfId="1842" xr:uid="{00000000-0005-0000-0000-000029070000}"/>
    <cellStyle name="20% - Accent2 4 2 3" xfId="1843" xr:uid="{00000000-0005-0000-0000-00002A070000}"/>
    <cellStyle name="20% - Accent2 4 2 3 2" xfId="1844" xr:uid="{00000000-0005-0000-0000-00002B070000}"/>
    <cellStyle name="20% - Accent2 4 2 3 2 2" xfId="1845" xr:uid="{00000000-0005-0000-0000-00002C070000}"/>
    <cellStyle name="20% - Accent2 4 2 3 2 2 2" xfId="1846" xr:uid="{00000000-0005-0000-0000-00002D070000}"/>
    <cellStyle name="20% - Accent2 4 2 3 2 2 2 2" xfId="1847" xr:uid="{00000000-0005-0000-0000-00002E070000}"/>
    <cellStyle name="20% - Accent2 4 2 3 2 2 3" xfId="1848" xr:uid="{00000000-0005-0000-0000-00002F070000}"/>
    <cellStyle name="20% - Accent2 4 2 3 2 3" xfId="1849" xr:uid="{00000000-0005-0000-0000-000030070000}"/>
    <cellStyle name="20% - Accent2 4 2 3 2 3 2" xfId="1850" xr:uid="{00000000-0005-0000-0000-000031070000}"/>
    <cellStyle name="20% - Accent2 4 2 3 2 4" xfId="1851" xr:uid="{00000000-0005-0000-0000-000032070000}"/>
    <cellStyle name="20% - Accent2 4 2 3 3" xfId="1852" xr:uid="{00000000-0005-0000-0000-000033070000}"/>
    <cellStyle name="20% - Accent2 4 2 3 3 2" xfId="1853" xr:uid="{00000000-0005-0000-0000-000034070000}"/>
    <cellStyle name="20% - Accent2 4 2 3 3 2 2" xfId="1854" xr:uid="{00000000-0005-0000-0000-000035070000}"/>
    <cellStyle name="20% - Accent2 4 2 3 3 3" xfId="1855" xr:uid="{00000000-0005-0000-0000-000036070000}"/>
    <cellStyle name="20% - Accent2 4 2 3 4" xfId="1856" xr:uid="{00000000-0005-0000-0000-000037070000}"/>
    <cellStyle name="20% - Accent2 4 2 3 4 2" xfId="1857" xr:uid="{00000000-0005-0000-0000-000038070000}"/>
    <cellStyle name="20% - Accent2 4 2 3 5" xfId="1858" xr:uid="{00000000-0005-0000-0000-000039070000}"/>
    <cellStyle name="20% - Accent2 4 2 4" xfId="1859" xr:uid="{00000000-0005-0000-0000-00003A070000}"/>
    <cellStyle name="20% - Accent2 4 2 4 2" xfId="1860" xr:uid="{00000000-0005-0000-0000-00003B070000}"/>
    <cellStyle name="20% - Accent2 4 2 4 2 2" xfId="1861" xr:uid="{00000000-0005-0000-0000-00003C070000}"/>
    <cellStyle name="20% - Accent2 4 2 4 2 2 2" xfId="1862" xr:uid="{00000000-0005-0000-0000-00003D070000}"/>
    <cellStyle name="20% - Accent2 4 2 4 2 3" xfId="1863" xr:uid="{00000000-0005-0000-0000-00003E070000}"/>
    <cellStyle name="20% - Accent2 4 2 4 3" xfId="1864" xr:uid="{00000000-0005-0000-0000-00003F070000}"/>
    <cellStyle name="20% - Accent2 4 2 4 3 2" xfId="1865" xr:uid="{00000000-0005-0000-0000-000040070000}"/>
    <cellStyle name="20% - Accent2 4 2 4 4" xfId="1866" xr:uid="{00000000-0005-0000-0000-000041070000}"/>
    <cellStyle name="20% - Accent2 4 2 5" xfId="1867" xr:uid="{00000000-0005-0000-0000-000042070000}"/>
    <cellStyle name="20% - Accent2 4 2 5 2" xfId="1868" xr:uid="{00000000-0005-0000-0000-000043070000}"/>
    <cellStyle name="20% - Accent2 4 2 5 2 2" xfId="1869" xr:uid="{00000000-0005-0000-0000-000044070000}"/>
    <cellStyle name="20% - Accent2 4 2 5 3" xfId="1870" xr:uid="{00000000-0005-0000-0000-000045070000}"/>
    <cellStyle name="20% - Accent2 4 2 6" xfId="1871" xr:uid="{00000000-0005-0000-0000-000046070000}"/>
    <cellStyle name="20% - Accent2 4 2 6 2" xfId="1872" xr:uid="{00000000-0005-0000-0000-000047070000}"/>
    <cellStyle name="20% - Accent2 4 2 7" xfId="1873" xr:uid="{00000000-0005-0000-0000-000048070000}"/>
    <cellStyle name="20% - Accent2 4 3" xfId="1874" xr:uid="{00000000-0005-0000-0000-000049070000}"/>
    <cellStyle name="20% - Accent2 4 3 2" xfId="1875" xr:uid="{00000000-0005-0000-0000-00004A070000}"/>
    <cellStyle name="20% - Accent2 4 3 2 2" xfId="1876" xr:uid="{00000000-0005-0000-0000-00004B070000}"/>
    <cellStyle name="20% - Accent2 4 3 2 2 2" xfId="1877" xr:uid="{00000000-0005-0000-0000-00004C070000}"/>
    <cellStyle name="20% - Accent2 4 3 2 2 2 2" xfId="1878" xr:uid="{00000000-0005-0000-0000-00004D070000}"/>
    <cellStyle name="20% - Accent2 4 3 2 2 2 2 2" xfId="1879" xr:uid="{00000000-0005-0000-0000-00004E070000}"/>
    <cellStyle name="20% - Accent2 4 3 2 2 2 3" xfId="1880" xr:uid="{00000000-0005-0000-0000-00004F070000}"/>
    <cellStyle name="20% - Accent2 4 3 2 2 3" xfId="1881" xr:uid="{00000000-0005-0000-0000-000050070000}"/>
    <cellStyle name="20% - Accent2 4 3 2 2 3 2" xfId="1882" xr:uid="{00000000-0005-0000-0000-000051070000}"/>
    <cellStyle name="20% - Accent2 4 3 2 2 4" xfId="1883" xr:uid="{00000000-0005-0000-0000-000052070000}"/>
    <cellStyle name="20% - Accent2 4 3 2 3" xfId="1884" xr:uid="{00000000-0005-0000-0000-000053070000}"/>
    <cellStyle name="20% - Accent2 4 3 2 3 2" xfId="1885" xr:uid="{00000000-0005-0000-0000-000054070000}"/>
    <cellStyle name="20% - Accent2 4 3 2 3 2 2" xfId="1886" xr:uid="{00000000-0005-0000-0000-000055070000}"/>
    <cellStyle name="20% - Accent2 4 3 2 3 3" xfId="1887" xr:uid="{00000000-0005-0000-0000-000056070000}"/>
    <cellStyle name="20% - Accent2 4 3 2 4" xfId="1888" xr:uid="{00000000-0005-0000-0000-000057070000}"/>
    <cellStyle name="20% - Accent2 4 3 2 4 2" xfId="1889" xr:uid="{00000000-0005-0000-0000-000058070000}"/>
    <cellStyle name="20% - Accent2 4 3 2 5" xfId="1890" xr:uid="{00000000-0005-0000-0000-000059070000}"/>
    <cellStyle name="20% - Accent2 4 3 3" xfId="1891" xr:uid="{00000000-0005-0000-0000-00005A070000}"/>
    <cellStyle name="20% - Accent2 4 3 3 2" xfId="1892" xr:uid="{00000000-0005-0000-0000-00005B070000}"/>
    <cellStyle name="20% - Accent2 4 3 3 2 2" xfId="1893" xr:uid="{00000000-0005-0000-0000-00005C070000}"/>
    <cellStyle name="20% - Accent2 4 3 3 2 2 2" xfId="1894" xr:uid="{00000000-0005-0000-0000-00005D070000}"/>
    <cellStyle name="20% - Accent2 4 3 3 2 3" xfId="1895" xr:uid="{00000000-0005-0000-0000-00005E070000}"/>
    <cellStyle name="20% - Accent2 4 3 3 3" xfId="1896" xr:uid="{00000000-0005-0000-0000-00005F070000}"/>
    <cellStyle name="20% - Accent2 4 3 3 3 2" xfId="1897" xr:uid="{00000000-0005-0000-0000-000060070000}"/>
    <cellStyle name="20% - Accent2 4 3 3 4" xfId="1898" xr:uid="{00000000-0005-0000-0000-000061070000}"/>
    <cellStyle name="20% - Accent2 4 3 4" xfId="1899" xr:uid="{00000000-0005-0000-0000-000062070000}"/>
    <cellStyle name="20% - Accent2 4 3 4 2" xfId="1900" xr:uid="{00000000-0005-0000-0000-000063070000}"/>
    <cellStyle name="20% - Accent2 4 3 4 2 2" xfId="1901" xr:uid="{00000000-0005-0000-0000-000064070000}"/>
    <cellStyle name="20% - Accent2 4 3 4 3" xfId="1902" xr:uid="{00000000-0005-0000-0000-000065070000}"/>
    <cellStyle name="20% - Accent2 4 3 5" xfId="1903" xr:uid="{00000000-0005-0000-0000-000066070000}"/>
    <cellStyle name="20% - Accent2 4 3 5 2" xfId="1904" xr:uid="{00000000-0005-0000-0000-000067070000}"/>
    <cellStyle name="20% - Accent2 4 3 6" xfId="1905" xr:uid="{00000000-0005-0000-0000-000068070000}"/>
    <cellStyle name="20% - Accent2 4 4" xfId="1906" xr:uid="{00000000-0005-0000-0000-000069070000}"/>
    <cellStyle name="20% - Accent2 4 4 2" xfId="1907" xr:uid="{00000000-0005-0000-0000-00006A070000}"/>
    <cellStyle name="20% - Accent2 4 4 2 2" xfId="1908" xr:uid="{00000000-0005-0000-0000-00006B070000}"/>
    <cellStyle name="20% - Accent2 4 4 2 2 2" xfId="1909" xr:uid="{00000000-0005-0000-0000-00006C070000}"/>
    <cellStyle name="20% - Accent2 4 4 2 2 2 2" xfId="1910" xr:uid="{00000000-0005-0000-0000-00006D070000}"/>
    <cellStyle name="20% - Accent2 4 4 2 2 3" xfId="1911" xr:uid="{00000000-0005-0000-0000-00006E070000}"/>
    <cellStyle name="20% - Accent2 4 4 2 3" xfId="1912" xr:uid="{00000000-0005-0000-0000-00006F070000}"/>
    <cellStyle name="20% - Accent2 4 4 2 3 2" xfId="1913" xr:uid="{00000000-0005-0000-0000-000070070000}"/>
    <cellStyle name="20% - Accent2 4 4 2 4" xfId="1914" xr:uid="{00000000-0005-0000-0000-000071070000}"/>
    <cellStyle name="20% - Accent2 4 4 3" xfId="1915" xr:uid="{00000000-0005-0000-0000-000072070000}"/>
    <cellStyle name="20% - Accent2 4 4 3 2" xfId="1916" xr:uid="{00000000-0005-0000-0000-000073070000}"/>
    <cellStyle name="20% - Accent2 4 4 3 2 2" xfId="1917" xr:uid="{00000000-0005-0000-0000-000074070000}"/>
    <cellStyle name="20% - Accent2 4 4 3 3" xfId="1918" xr:uid="{00000000-0005-0000-0000-000075070000}"/>
    <cellStyle name="20% - Accent2 4 4 4" xfId="1919" xr:uid="{00000000-0005-0000-0000-000076070000}"/>
    <cellStyle name="20% - Accent2 4 4 4 2" xfId="1920" xr:uid="{00000000-0005-0000-0000-000077070000}"/>
    <cellStyle name="20% - Accent2 4 4 5" xfId="1921" xr:uid="{00000000-0005-0000-0000-000078070000}"/>
    <cellStyle name="20% - Accent2 4 5" xfId="1922" xr:uid="{00000000-0005-0000-0000-000079070000}"/>
    <cellStyle name="20% - Accent2 4 5 2" xfId="1923" xr:uid="{00000000-0005-0000-0000-00007A070000}"/>
    <cellStyle name="20% - Accent2 4 5 2 2" xfId="1924" xr:uid="{00000000-0005-0000-0000-00007B070000}"/>
    <cellStyle name="20% - Accent2 4 5 2 2 2" xfId="1925" xr:uid="{00000000-0005-0000-0000-00007C070000}"/>
    <cellStyle name="20% - Accent2 4 5 2 3" xfId="1926" xr:uid="{00000000-0005-0000-0000-00007D070000}"/>
    <cellStyle name="20% - Accent2 4 5 3" xfId="1927" xr:uid="{00000000-0005-0000-0000-00007E070000}"/>
    <cellStyle name="20% - Accent2 4 5 3 2" xfId="1928" xr:uid="{00000000-0005-0000-0000-00007F070000}"/>
    <cellStyle name="20% - Accent2 4 5 4" xfId="1929" xr:uid="{00000000-0005-0000-0000-000080070000}"/>
    <cellStyle name="20% - Accent2 4 6" xfId="1930" xr:uid="{00000000-0005-0000-0000-000081070000}"/>
    <cellStyle name="20% - Accent2 4 6 2" xfId="1931" xr:uid="{00000000-0005-0000-0000-000082070000}"/>
    <cellStyle name="20% - Accent2 4 6 2 2" xfId="1932" xr:uid="{00000000-0005-0000-0000-000083070000}"/>
    <cellStyle name="20% - Accent2 4 6 3" xfId="1933" xr:uid="{00000000-0005-0000-0000-000084070000}"/>
    <cellStyle name="20% - Accent2 4 7" xfId="1934" xr:uid="{00000000-0005-0000-0000-000085070000}"/>
    <cellStyle name="20% - Accent2 4 7 2" xfId="1935" xr:uid="{00000000-0005-0000-0000-000086070000}"/>
    <cellStyle name="20% - Accent2 4 8" xfId="1936" xr:uid="{00000000-0005-0000-0000-000087070000}"/>
    <cellStyle name="20% - Accent2 5" xfId="1937" xr:uid="{00000000-0005-0000-0000-000088070000}"/>
    <cellStyle name="20% - Accent2 5 2" xfId="1938" xr:uid="{00000000-0005-0000-0000-000089070000}"/>
    <cellStyle name="20% - Accent2 5 2 2" xfId="1939" xr:uid="{00000000-0005-0000-0000-00008A070000}"/>
    <cellStyle name="20% - Accent2 5 2 2 2" xfId="1940" xr:uid="{00000000-0005-0000-0000-00008B070000}"/>
    <cellStyle name="20% - Accent2 5 2 2 2 2" xfId="1941" xr:uid="{00000000-0005-0000-0000-00008C070000}"/>
    <cellStyle name="20% - Accent2 5 2 2 2 2 2" xfId="1942" xr:uid="{00000000-0005-0000-0000-00008D070000}"/>
    <cellStyle name="20% - Accent2 5 2 2 2 2 2 2" xfId="1943" xr:uid="{00000000-0005-0000-0000-00008E070000}"/>
    <cellStyle name="20% - Accent2 5 2 2 2 2 3" xfId="1944" xr:uid="{00000000-0005-0000-0000-00008F070000}"/>
    <cellStyle name="20% - Accent2 5 2 2 2 3" xfId="1945" xr:uid="{00000000-0005-0000-0000-000090070000}"/>
    <cellStyle name="20% - Accent2 5 2 2 2 3 2" xfId="1946" xr:uid="{00000000-0005-0000-0000-000091070000}"/>
    <cellStyle name="20% - Accent2 5 2 2 2 4" xfId="1947" xr:uid="{00000000-0005-0000-0000-000092070000}"/>
    <cellStyle name="20% - Accent2 5 2 2 3" xfId="1948" xr:uid="{00000000-0005-0000-0000-000093070000}"/>
    <cellStyle name="20% - Accent2 5 2 2 3 2" xfId="1949" xr:uid="{00000000-0005-0000-0000-000094070000}"/>
    <cellStyle name="20% - Accent2 5 2 2 3 2 2" xfId="1950" xr:uid="{00000000-0005-0000-0000-000095070000}"/>
    <cellStyle name="20% - Accent2 5 2 2 3 3" xfId="1951" xr:uid="{00000000-0005-0000-0000-000096070000}"/>
    <cellStyle name="20% - Accent2 5 2 2 4" xfId="1952" xr:uid="{00000000-0005-0000-0000-000097070000}"/>
    <cellStyle name="20% - Accent2 5 2 2 4 2" xfId="1953" xr:uid="{00000000-0005-0000-0000-000098070000}"/>
    <cellStyle name="20% - Accent2 5 2 2 5" xfId="1954" xr:uid="{00000000-0005-0000-0000-000099070000}"/>
    <cellStyle name="20% - Accent2 5 2 3" xfId="1955" xr:uid="{00000000-0005-0000-0000-00009A070000}"/>
    <cellStyle name="20% - Accent2 5 2 3 2" xfId="1956" xr:uid="{00000000-0005-0000-0000-00009B070000}"/>
    <cellStyle name="20% - Accent2 5 2 3 2 2" xfId="1957" xr:uid="{00000000-0005-0000-0000-00009C070000}"/>
    <cellStyle name="20% - Accent2 5 2 3 2 2 2" xfId="1958" xr:uid="{00000000-0005-0000-0000-00009D070000}"/>
    <cellStyle name="20% - Accent2 5 2 3 2 3" xfId="1959" xr:uid="{00000000-0005-0000-0000-00009E070000}"/>
    <cellStyle name="20% - Accent2 5 2 3 3" xfId="1960" xr:uid="{00000000-0005-0000-0000-00009F070000}"/>
    <cellStyle name="20% - Accent2 5 2 3 3 2" xfId="1961" xr:uid="{00000000-0005-0000-0000-0000A0070000}"/>
    <cellStyle name="20% - Accent2 5 2 3 4" xfId="1962" xr:uid="{00000000-0005-0000-0000-0000A1070000}"/>
    <cellStyle name="20% - Accent2 5 2 4" xfId="1963" xr:uid="{00000000-0005-0000-0000-0000A2070000}"/>
    <cellStyle name="20% - Accent2 5 2 4 2" xfId="1964" xr:uid="{00000000-0005-0000-0000-0000A3070000}"/>
    <cellStyle name="20% - Accent2 5 2 4 2 2" xfId="1965" xr:uid="{00000000-0005-0000-0000-0000A4070000}"/>
    <cellStyle name="20% - Accent2 5 2 4 3" xfId="1966" xr:uid="{00000000-0005-0000-0000-0000A5070000}"/>
    <cellStyle name="20% - Accent2 5 2 5" xfId="1967" xr:uid="{00000000-0005-0000-0000-0000A6070000}"/>
    <cellStyle name="20% - Accent2 5 2 5 2" xfId="1968" xr:uid="{00000000-0005-0000-0000-0000A7070000}"/>
    <cellStyle name="20% - Accent2 5 2 6" xfId="1969" xr:uid="{00000000-0005-0000-0000-0000A8070000}"/>
    <cellStyle name="20% - Accent2 5 3" xfId="1970" xr:uid="{00000000-0005-0000-0000-0000A9070000}"/>
    <cellStyle name="20% - Accent2 5 3 2" xfId="1971" xr:uid="{00000000-0005-0000-0000-0000AA070000}"/>
    <cellStyle name="20% - Accent2 5 3 2 2" xfId="1972" xr:uid="{00000000-0005-0000-0000-0000AB070000}"/>
    <cellStyle name="20% - Accent2 5 3 2 2 2" xfId="1973" xr:uid="{00000000-0005-0000-0000-0000AC070000}"/>
    <cellStyle name="20% - Accent2 5 3 2 2 2 2" xfId="1974" xr:uid="{00000000-0005-0000-0000-0000AD070000}"/>
    <cellStyle name="20% - Accent2 5 3 2 2 3" xfId="1975" xr:uid="{00000000-0005-0000-0000-0000AE070000}"/>
    <cellStyle name="20% - Accent2 5 3 2 3" xfId="1976" xr:uid="{00000000-0005-0000-0000-0000AF070000}"/>
    <cellStyle name="20% - Accent2 5 3 2 3 2" xfId="1977" xr:uid="{00000000-0005-0000-0000-0000B0070000}"/>
    <cellStyle name="20% - Accent2 5 3 2 4" xfId="1978" xr:uid="{00000000-0005-0000-0000-0000B1070000}"/>
    <cellStyle name="20% - Accent2 5 3 3" xfId="1979" xr:uid="{00000000-0005-0000-0000-0000B2070000}"/>
    <cellStyle name="20% - Accent2 5 3 3 2" xfId="1980" xr:uid="{00000000-0005-0000-0000-0000B3070000}"/>
    <cellStyle name="20% - Accent2 5 3 3 2 2" xfId="1981" xr:uid="{00000000-0005-0000-0000-0000B4070000}"/>
    <cellStyle name="20% - Accent2 5 3 3 3" xfId="1982" xr:uid="{00000000-0005-0000-0000-0000B5070000}"/>
    <cellStyle name="20% - Accent2 5 3 4" xfId="1983" xr:uid="{00000000-0005-0000-0000-0000B6070000}"/>
    <cellStyle name="20% - Accent2 5 3 4 2" xfId="1984" xr:uid="{00000000-0005-0000-0000-0000B7070000}"/>
    <cellStyle name="20% - Accent2 5 3 5" xfId="1985" xr:uid="{00000000-0005-0000-0000-0000B8070000}"/>
    <cellStyle name="20% - Accent2 5 4" xfId="1986" xr:uid="{00000000-0005-0000-0000-0000B9070000}"/>
    <cellStyle name="20% - Accent2 5 4 2" xfId="1987" xr:uid="{00000000-0005-0000-0000-0000BA070000}"/>
    <cellStyle name="20% - Accent2 5 4 2 2" xfId="1988" xr:uid="{00000000-0005-0000-0000-0000BB070000}"/>
    <cellStyle name="20% - Accent2 5 4 2 2 2" xfId="1989" xr:uid="{00000000-0005-0000-0000-0000BC070000}"/>
    <cellStyle name="20% - Accent2 5 4 2 3" xfId="1990" xr:uid="{00000000-0005-0000-0000-0000BD070000}"/>
    <cellStyle name="20% - Accent2 5 4 3" xfId="1991" xr:uid="{00000000-0005-0000-0000-0000BE070000}"/>
    <cellStyle name="20% - Accent2 5 4 3 2" xfId="1992" xr:uid="{00000000-0005-0000-0000-0000BF070000}"/>
    <cellStyle name="20% - Accent2 5 4 4" xfId="1993" xr:uid="{00000000-0005-0000-0000-0000C0070000}"/>
    <cellStyle name="20% - Accent2 5 5" xfId="1994" xr:uid="{00000000-0005-0000-0000-0000C1070000}"/>
    <cellStyle name="20% - Accent2 5 5 2" xfId="1995" xr:uid="{00000000-0005-0000-0000-0000C2070000}"/>
    <cellStyle name="20% - Accent2 5 5 2 2" xfId="1996" xr:uid="{00000000-0005-0000-0000-0000C3070000}"/>
    <cellStyle name="20% - Accent2 5 5 3" xfId="1997" xr:uid="{00000000-0005-0000-0000-0000C4070000}"/>
    <cellStyle name="20% - Accent2 5 6" xfId="1998" xr:uid="{00000000-0005-0000-0000-0000C5070000}"/>
    <cellStyle name="20% - Accent2 5 6 2" xfId="1999" xr:uid="{00000000-0005-0000-0000-0000C6070000}"/>
    <cellStyle name="20% - Accent2 5 7" xfId="2000" xr:uid="{00000000-0005-0000-0000-0000C7070000}"/>
    <cellStyle name="20% - Accent2 6" xfId="2001" xr:uid="{00000000-0005-0000-0000-0000C8070000}"/>
    <cellStyle name="20% - Accent2 6 2" xfId="2002" xr:uid="{00000000-0005-0000-0000-0000C9070000}"/>
    <cellStyle name="20% - Accent2 6 2 2" xfId="2003" xr:uid="{00000000-0005-0000-0000-0000CA070000}"/>
    <cellStyle name="20% - Accent2 6 2 2 2" xfId="2004" xr:uid="{00000000-0005-0000-0000-0000CB070000}"/>
    <cellStyle name="20% - Accent2 6 2 2 2 2" xfId="2005" xr:uid="{00000000-0005-0000-0000-0000CC070000}"/>
    <cellStyle name="20% - Accent2 6 2 2 2 2 2" xfId="2006" xr:uid="{00000000-0005-0000-0000-0000CD070000}"/>
    <cellStyle name="20% - Accent2 6 2 2 2 3" xfId="2007" xr:uid="{00000000-0005-0000-0000-0000CE070000}"/>
    <cellStyle name="20% - Accent2 6 2 2 3" xfId="2008" xr:uid="{00000000-0005-0000-0000-0000CF070000}"/>
    <cellStyle name="20% - Accent2 6 2 2 3 2" xfId="2009" xr:uid="{00000000-0005-0000-0000-0000D0070000}"/>
    <cellStyle name="20% - Accent2 6 2 2 4" xfId="2010" xr:uid="{00000000-0005-0000-0000-0000D1070000}"/>
    <cellStyle name="20% - Accent2 6 2 3" xfId="2011" xr:uid="{00000000-0005-0000-0000-0000D2070000}"/>
    <cellStyle name="20% - Accent2 6 2 3 2" xfId="2012" xr:uid="{00000000-0005-0000-0000-0000D3070000}"/>
    <cellStyle name="20% - Accent2 6 2 3 2 2" xfId="2013" xr:uid="{00000000-0005-0000-0000-0000D4070000}"/>
    <cellStyle name="20% - Accent2 6 2 3 3" xfId="2014" xr:uid="{00000000-0005-0000-0000-0000D5070000}"/>
    <cellStyle name="20% - Accent2 6 2 4" xfId="2015" xr:uid="{00000000-0005-0000-0000-0000D6070000}"/>
    <cellStyle name="20% - Accent2 6 2 4 2" xfId="2016" xr:uid="{00000000-0005-0000-0000-0000D7070000}"/>
    <cellStyle name="20% - Accent2 6 2 5" xfId="2017" xr:uid="{00000000-0005-0000-0000-0000D8070000}"/>
    <cellStyle name="20% - Accent2 6 3" xfId="2018" xr:uid="{00000000-0005-0000-0000-0000D9070000}"/>
    <cellStyle name="20% - Accent2 6 3 2" xfId="2019" xr:uid="{00000000-0005-0000-0000-0000DA070000}"/>
    <cellStyle name="20% - Accent2 6 3 2 2" xfId="2020" xr:uid="{00000000-0005-0000-0000-0000DB070000}"/>
    <cellStyle name="20% - Accent2 6 3 2 2 2" xfId="2021" xr:uid="{00000000-0005-0000-0000-0000DC070000}"/>
    <cellStyle name="20% - Accent2 6 3 2 3" xfId="2022" xr:uid="{00000000-0005-0000-0000-0000DD070000}"/>
    <cellStyle name="20% - Accent2 6 3 3" xfId="2023" xr:uid="{00000000-0005-0000-0000-0000DE070000}"/>
    <cellStyle name="20% - Accent2 6 3 3 2" xfId="2024" xr:uid="{00000000-0005-0000-0000-0000DF070000}"/>
    <cellStyle name="20% - Accent2 6 3 4" xfId="2025" xr:uid="{00000000-0005-0000-0000-0000E0070000}"/>
    <cellStyle name="20% - Accent2 6 4" xfId="2026" xr:uid="{00000000-0005-0000-0000-0000E1070000}"/>
    <cellStyle name="20% - Accent2 6 4 2" xfId="2027" xr:uid="{00000000-0005-0000-0000-0000E2070000}"/>
    <cellStyle name="20% - Accent2 6 4 2 2" xfId="2028" xr:uid="{00000000-0005-0000-0000-0000E3070000}"/>
    <cellStyle name="20% - Accent2 6 4 3" xfId="2029" xr:uid="{00000000-0005-0000-0000-0000E4070000}"/>
    <cellStyle name="20% - Accent2 6 5" xfId="2030" xr:uid="{00000000-0005-0000-0000-0000E5070000}"/>
    <cellStyle name="20% - Accent2 6 5 2" xfId="2031" xr:uid="{00000000-0005-0000-0000-0000E6070000}"/>
    <cellStyle name="20% - Accent2 6 6" xfId="2032" xr:uid="{00000000-0005-0000-0000-0000E7070000}"/>
    <cellStyle name="20% - Accent2 7" xfId="2033" xr:uid="{00000000-0005-0000-0000-0000E8070000}"/>
    <cellStyle name="20% - Accent2 7 2" xfId="2034" xr:uid="{00000000-0005-0000-0000-0000E9070000}"/>
    <cellStyle name="20% - Accent2 7 2 2" xfId="2035" xr:uid="{00000000-0005-0000-0000-0000EA070000}"/>
    <cellStyle name="20% - Accent2 7 2 2 2" xfId="2036" xr:uid="{00000000-0005-0000-0000-0000EB070000}"/>
    <cellStyle name="20% - Accent2 7 2 2 2 2" xfId="2037" xr:uid="{00000000-0005-0000-0000-0000EC070000}"/>
    <cellStyle name="20% - Accent2 7 2 2 3" xfId="2038" xr:uid="{00000000-0005-0000-0000-0000ED070000}"/>
    <cellStyle name="20% - Accent2 7 2 3" xfId="2039" xr:uid="{00000000-0005-0000-0000-0000EE070000}"/>
    <cellStyle name="20% - Accent2 7 2 3 2" xfId="2040" xr:uid="{00000000-0005-0000-0000-0000EF070000}"/>
    <cellStyle name="20% - Accent2 7 2 4" xfId="2041" xr:uid="{00000000-0005-0000-0000-0000F0070000}"/>
    <cellStyle name="20% - Accent2 7 3" xfId="2042" xr:uid="{00000000-0005-0000-0000-0000F1070000}"/>
    <cellStyle name="20% - Accent2 7 3 2" xfId="2043" xr:uid="{00000000-0005-0000-0000-0000F2070000}"/>
    <cellStyle name="20% - Accent2 7 3 2 2" xfId="2044" xr:uid="{00000000-0005-0000-0000-0000F3070000}"/>
    <cellStyle name="20% - Accent2 7 3 3" xfId="2045" xr:uid="{00000000-0005-0000-0000-0000F4070000}"/>
    <cellStyle name="20% - Accent2 7 4" xfId="2046" xr:uid="{00000000-0005-0000-0000-0000F5070000}"/>
    <cellStyle name="20% - Accent2 7 4 2" xfId="2047" xr:uid="{00000000-0005-0000-0000-0000F6070000}"/>
    <cellStyle name="20% - Accent2 7 5" xfId="2048" xr:uid="{00000000-0005-0000-0000-0000F7070000}"/>
    <cellStyle name="20% - Accent2 8" xfId="2049" xr:uid="{00000000-0005-0000-0000-0000F8070000}"/>
    <cellStyle name="20% - Accent2 8 2" xfId="2050" xr:uid="{00000000-0005-0000-0000-0000F9070000}"/>
    <cellStyle name="20% - Accent2 8 2 2" xfId="2051" xr:uid="{00000000-0005-0000-0000-0000FA070000}"/>
    <cellStyle name="20% - Accent2 8 2 2 2" xfId="2052" xr:uid="{00000000-0005-0000-0000-0000FB070000}"/>
    <cellStyle name="20% - Accent2 8 2 3" xfId="2053" xr:uid="{00000000-0005-0000-0000-0000FC070000}"/>
    <cellStyle name="20% - Accent2 8 3" xfId="2054" xr:uid="{00000000-0005-0000-0000-0000FD070000}"/>
    <cellStyle name="20% - Accent2 8 3 2" xfId="2055" xr:uid="{00000000-0005-0000-0000-0000FE070000}"/>
    <cellStyle name="20% - Accent2 8 4" xfId="2056" xr:uid="{00000000-0005-0000-0000-0000FF070000}"/>
    <cellStyle name="20% - Accent2 9" xfId="2057" xr:uid="{00000000-0005-0000-0000-000000080000}"/>
    <cellStyle name="20% - Accent2 9 2" xfId="2058" xr:uid="{00000000-0005-0000-0000-000001080000}"/>
    <cellStyle name="20% - Accent2 9 2 2" xfId="2059" xr:uid="{00000000-0005-0000-0000-000002080000}"/>
    <cellStyle name="20% - Accent2 9 3" xfId="2060" xr:uid="{00000000-0005-0000-0000-000003080000}"/>
    <cellStyle name="20% - Accent3 10" xfId="2061" xr:uid="{00000000-0005-0000-0000-000004080000}"/>
    <cellStyle name="20% - Accent3 10 2" xfId="2062" xr:uid="{00000000-0005-0000-0000-000005080000}"/>
    <cellStyle name="20% - Accent3 11" xfId="2063" xr:uid="{00000000-0005-0000-0000-000006080000}"/>
    <cellStyle name="20% - Accent3 12" xfId="2064" xr:uid="{00000000-0005-0000-0000-000007080000}"/>
    <cellStyle name="20% - Accent3 13" xfId="2065" xr:uid="{00000000-0005-0000-0000-000008080000}"/>
    <cellStyle name="20% - Accent3 14" xfId="2066" xr:uid="{00000000-0005-0000-0000-000009080000}"/>
    <cellStyle name="20% - Accent3 2" xfId="2067" xr:uid="{00000000-0005-0000-0000-00000A080000}"/>
    <cellStyle name="20% - Accent3 2 10" xfId="2068" xr:uid="{00000000-0005-0000-0000-00000B080000}"/>
    <cellStyle name="20% - Accent3 2 2" xfId="2069" xr:uid="{00000000-0005-0000-0000-00000C080000}"/>
    <cellStyle name="20% - Accent3 2 2 2" xfId="2070" xr:uid="{00000000-0005-0000-0000-00000D080000}"/>
    <cellStyle name="20% - Accent3 2 2 2 2" xfId="2071" xr:uid="{00000000-0005-0000-0000-00000E080000}"/>
    <cellStyle name="20% - Accent3 2 2 2 2 2" xfId="2072" xr:uid="{00000000-0005-0000-0000-00000F080000}"/>
    <cellStyle name="20% - Accent3 2 2 2 2 2 2" xfId="2073" xr:uid="{00000000-0005-0000-0000-000010080000}"/>
    <cellStyle name="20% - Accent3 2 2 2 2 2 2 2" xfId="2074" xr:uid="{00000000-0005-0000-0000-000011080000}"/>
    <cellStyle name="20% - Accent3 2 2 2 2 2 2 2 2" xfId="2075" xr:uid="{00000000-0005-0000-0000-000012080000}"/>
    <cellStyle name="20% - Accent3 2 2 2 2 2 2 2 2 2" xfId="2076" xr:uid="{00000000-0005-0000-0000-000013080000}"/>
    <cellStyle name="20% - Accent3 2 2 2 2 2 2 2 2 2 2" xfId="2077" xr:uid="{00000000-0005-0000-0000-000014080000}"/>
    <cellStyle name="20% - Accent3 2 2 2 2 2 2 2 2 3" xfId="2078" xr:uid="{00000000-0005-0000-0000-000015080000}"/>
    <cellStyle name="20% - Accent3 2 2 2 2 2 2 2 3" xfId="2079" xr:uid="{00000000-0005-0000-0000-000016080000}"/>
    <cellStyle name="20% - Accent3 2 2 2 2 2 2 2 3 2" xfId="2080" xr:uid="{00000000-0005-0000-0000-000017080000}"/>
    <cellStyle name="20% - Accent3 2 2 2 2 2 2 2 4" xfId="2081" xr:uid="{00000000-0005-0000-0000-000018080000}"/>
    <cellStyle name="20% - Accent3 2 2 2 2 2 2 3" xfId="2082" xr:uid="{00000000-0005-0000-0000-000019080000}"/>
    <cellStyle name="20% - Accent3 2 2 2 2 2 2 3 2" xfId="2083" xr:uid="{00000000-0005-0000-0000-00001A080000}"/>
    <cellStyle name="20% - Accent3 2 2 2 2 2 2 3 2 2" xfId="2084" xr:uid="{00000000-0005-0000-0000-00001B080000}"/>
    <cellStyle name="20% - Accent3 2 2 2 2 2 2 3 3" xfId="2085" xr:uid="{00000000-0005-0000-0000-00001C080000}"/>
    <cellStyle name="20% - Accent3 2 2 2 2 2 2 4" xfId="2086" xr:uid="{00000000-0005-0000-0000-00001D080000}"/>
    <cellStyle name="20% - Accent3 2 2 2 2 2 2 4 2" xfId="2087" xr:uid="{00000000-0005-0000-0000-00001E080000}"/>
    <cellStyle name="20% - Accent3 2 2 2 2 2 2 5" xfId="2088" xr:uid="{00000000-0005-0000-0000-00001F080000}"/>
    <cellStyle name="20% - Accent3 2 2 2 2 2 3" xfId="2089" xr:uid="{00000000-0005-0000-0000-000020080000}"/>
    <cellStyle name="20% - Accent3 2 2 2 2 2 3 2" xfId="2090" xr:uid="{00000000-0005-0000-0000-000021080000}"/>
    <cellStyle name="20% - Accent3 2 2 2 2 2 3 2 2" xfId="2091" xr:uid="{00000000-0005-0000-0000-000022080000}"/>
    <cellStyle name="20% - Accent3 2 2 2 2 2 3 2 2 2" xfId="2092" xr:uid="{00000000-0005-0000-0000-000023080000}"/>
    <cellStyle name="20% - Accent3 2 2 2 2 2 3 2 3" xfId="2093" xr:uid="{00000000-0005-0000-0000-000024080000}"/>
    <cellStyle name="20% - Accent3 2 2 2 2 2 3 3" xfId="2094" xr:uid="{00000000-0005-0000-0000-000025080000}"/>
    <cellStyle name="20% - Accent3 2 2 2 2 2 3 3 2" xfId="2095" xr:uid="{00000000-0005-0000-0000-000026080000}"/>
    <cellStyle name="20% - Accent3 2 2 2 2 2 3 4" xfId="2096" xr:uid="{00000000-0005-0000-0000-000027080000}"/>
    <cellStyle name="20% - Accent3 2 2 2 2 2 4" xfId="2097" xr:uid="{00000000-0005-0000-0000-000028080000}"/>
    <cellStyle name="20% - Accent3 2 2 2 2 2 4 2" xfId="2098" xr:uid="{00000000-0005-0000-0000-000029080000}"/>
    <cellStyle name="20% - Accent3 2 2 2 2 2 4 2 2" xfId="2099" xr:uid="{00000000-0005-0000-0000-00002A080000}"/>
    <cellStyle name="20% - Accent3 2 2 2 2 2 4 3" xfId="2100" xr:uid="{00000000-0005-0000-0000-00002B080000}"/>
    <cellStyle name="20% - Accent3 2 2 2 2 2 5" xfId="2101" xr:uid="{00000000-0005-0000-0000-00002C080000}"/>
    <cellStyle name="20% - Accent3 2 2 2 2 2 5 2" xfId="2102" xr:uid="{00000000-0005-0000-0000-00002D080000}"/>
    <cellStyle name="20% - Accent3 2 2 2 2 2 6" xfId="2103" xr:uid="{00000000-0005-0000-0000-00002E080000}"/>
    <cellStyle name="20% - Accent3 2 2 2 2 3" xfId="2104" xr:uid="{00000000-0005-0000-0000-00002F080000}"/>
    <cellStyle name="20% - Accent3 2 2 2 2 3 2" xfId="2105" xr:uid="{00000000-0005-0000-0000-000030080000}"/>
    <cellStyle name="20% - Accent3 2 2 2 2 3 2 2" xfId="2106" xr:uid="{00000000-0005-0000-0000-000031080000}"/>
    <cellStyle name="20% - Accent3 2 2 2 2 3 2 2 2" xfId="2107" xr:uid="{00000000-0005-0000-0000-000032080000}"/>
    <cellStyle name="20% - Accent3 2 2 2 2 3 2 2 2 2" xfId="2108" xr:uid="{00000000-0005-0000-0000-000033080000}"/>
    <cellStyle name="20% - Accent3 2 2 2 2 3 2 2 3" xfId="2109" xr:uid="{00000000-0005-0000-0000-000034080000}"/>
    <cellStyle name="20% - Accent3 2 2 2 2 3 2 3" xfId="2110" xr:uid="{00000000-0005-0000-0000-000035080000}"/>
    <cellStyle name="20% - Accent3 2 2 2 2 3 2 3 2" xfId="2111" xr:uid="{00000000-0005-0000-0000-000036080000}"/>
    <cellStyle name="20% - Accent3 2 2 2 2 3 2 4" xfId="2112" xr:uid="{00000000-0005-0000-0000-000037080000}"/>
    <cellStyle name="20% - Accent3 2 2 2 2 3 3" xfId="2113" xr:uid="{00000000-0005-0000-0000-000038080000}"/>
    <cellStyle name="20% - Accent3 2 2 2 2 3 3 2" xfId="2114" xr:uid="{00000000-0005-0000-0000-000039080000}"/>
    <cellStyle name="20% - Accent3 2 2 2 2 3 3 2 2" xfId="2115" xr:uid="{00000000-0005-0000-0000-00003A080000}"/>
    <cellStyle name="20% - Accent3 2 2 2 2 3 3 3" xfId="2116" xr:uid="{00000000-0005-0000-0000-00003B080000}"/>
    <cellStyle name="20% - Accent3 2 2 2 2 3 4" xfId="2117" xr:uid="{00000000-0005-0000-0000-00003C080000}"/>
    <cellStyle name="20% - Accent3 2 2 2 2 3 4 2" xfId="2118" xr:uid="{00000000-0005-0000-0000-00003D080000}"/>
    <cellStyle name="20% - Accent3 2 2 2 2 3 5" xfId="2119" xr:uid="{00000000-0005-0000-0000-00003E080000}"/>
    <cellStyle name="20% - Accent3 2 2 2 2 4" xfId="2120" xr:uid="{00000000-0005-0000-0000-00003F080000}"/>
    <cellStyle name="20% - Accent3 2 2 2 2 4 2" xfId="2121" xr:uid="{00000000-0005-0000-0000-000040080000}"/>
    <cellStyle name="20% - Accent3 2 2 2 2 4 2 2" xfId="2122" xr:uid="{00000000-0005-0000-0000-000041080000}"/>
    <cellStyle name="20% - Accent3 2 2 2 2 4 2 2 2" xfId="2123" xr:uid="{00000000-0005-0000-0000-000042080000}"/>
    <cellStyle name="20% - Accent3 2 2 2 2 4 2 3" xfId="2124" xr:uid="{00000000-0005-0000-0000-000043080000}"/>
    <cellStyle name="20% - Accent3 2 2 2 2 4 3" xfId="2125" xr:uid="{00000000-0005-0000-0000-000044080000}"/>
    <cellStyle name="20% - Accent3 2 2 2 2 4 3 2" xfId="2126" xr:uid="{00000000-0005-0000-0000-000045080000}"/>
    <cellStyle name="20% - Accent3 2 2 2 2 4 4" xfId="2127" xr:uid="{00000000-0005-0000-0000-000046080000}"/>
    <cellStyle name="20% - Accent3 2 2 2 2 5" xfId="2128" xr:uid="{00000000-0005-0000-0000-000047080000}"/>
    <cellStyle name="20% - Accent3 2 2 2 2 5 2" xfId="2129" xr:uid="{00000000-0005-0000-0000-000048080000}"/>
    <cellStyle name="20% - Accent3 2 2 2 2 5 2 2" xfId="2130" xr:uid="{00000000-0005-0000-0000-000049080000}"/>
    <cellStyle name="20% - Accent3 2 2 2 2 5 3" xfId="2131" xr:uid="{00000000-0005-0000-0000-00004A080000}"/>
    <cellStyle name="20% - Accent3 2 2 2 2 6" xfId="2132" xr:uid="{00000000-0005-0000-0000-00004B080000}"/>
    <cellStyle name="20% - Accent3 2 2 2 2 6 2" xfId="2133" xr:uid="{00000000-0005-0000-0000-00004C080000}"/>
    <cellStyle name="20% - Accent3 2 2 2 2 7" xfId="2134" xr:uid="{00000000-0005-0000-0000-00004D080000}"/>
    <cellStyle name="20% - Accent3 2 2 2 3" xfId="2135" xr:uid="{00000000-0005-0000-0000-00004E080000}"/>
    <cellStyle name="20% - Accent3 2 2 2 3 2" xfId="2136" xr:uid="{00000000-0005-0000-0000-00004F080000}"/>
    <cellStyle name="20% - Accent3 2 2 2 3 2 2" xfId="2137" xr:uid="{00000000-0005-0000-0000-000050080000}"/>
    <cellStyle name="20% - Accent3 2 2 2 3 2 2 2" xfId="2138" xr:uid="{00000000-0005-0000-0000-000051080000}"/>
    <cellStyle name="20% - Accent3 2 2 2 3 2 2 2 2" xfId="2139" xr:uid="{00000000-0005-0000-0000-000052080000}"/>
    <cellStyle name="20% - Accent3 2 2 2 3 2 2 2 2 2" xfId="2140" xr:uid="{00000000-0005-0000-0000-000053080000}"/>
    <cellStyle name="20% - Accent3 2 2 2 3 2 2 2 3" xfId="2141" xr:uid="{00000000-0005-0000-0000-000054080000}"/>
    <cellStyle name="20% - Accent3 2 2 2 3 2 2 3" xfId="2142" xr:uid="{00000000-0005-0000-0000-000055080000}"/>
    <cellStyle name="20% - Accent3 2 2 2 3 2 2 3 2" xfId="2143" xr:uid="{00000000-0005-0000-0000-000056080000}"/>
    <cellStyle name="20% - Accent3 2 2 2 3 2 2 4" xfId="2144" xr:uid="{00000000-0005-0000-0000-000057080000}"/>
    <cellStyle name="20% - Accent3 2 2 2 3 2 3" xfId="2145" xr:uid="{00000000-0005-0000-0000-000058080000}"/>
    <cellStyle name="20% - Accent3 2 2 2 3 2 3 2" xfId="2146" xr:uid="{00000000-0005-0000-0000-000059080000}"/>
    <cellStyle name="20% - Accent3 2 2 2 3 2 3 2 2" xfId="2147" xr:uid="{00000000-0005-0000-0000-00005A080000}"/>
    <cellStyle name="20% - Accent3 2 2 2 3 2 3 3" xfId="2148" xr:uid="{00000000-0005-0000-0000-00005B080000}"/>
    <cellStyle name="20% - Accent3 2 2 2 3 2 4" xfId="2149" xr:uid="{00000000-0005-0000-0000-00005C080000}"/>
    <cellStyle name="20% - Accent3 2 2 2 3 2 4 2" xfId="2150" xr:uid="{00000000-0005-0000-0000-00005D080000}"/>
    <cellStyle name="20% - Accent3 2 2 2 3 2 5" xfId="2151" xr:uid="{00000000-0005-0000-0000-00005E080000}"/>
    <cellStyle name="20% - Accent3 2 2 2 3 3" xfId="2152" xr:uid="{00000000-0005-0000-0000-00005F080000}"/>
    <cellStyle name="20% - Accent3 2 2 2 3 3 2" xfId="2153" xr:uid="{00000000-0005-0000-0000-000060080000}"/>
    <cellStyle name="20% - Accent3 2 2 2 3 3 2 2" xfId="2154" xr:uid="{00000000-0005-0000-0000-000061080000}"/>
    <cellStyle name="20% - Accent3 2 2 2 3 3 2 2 2" xfId="2155" xr:uid="{00000000-0005-0000-0000-000062080000}"/>
    <cellStyle name="20% - Accent3 2 2 2 3 3 2 3" xfId="2156" xr:uid="{00000000-0005-0000-0000-000063080000}"/>
    <cellStyle name="20% - Accent3 2 2 2 3 3 3" xfId="2157" xr:uid="{00000000-0005-0000-0000-000064080000}"/>
    <cellStyle name="20% - Accent3 2 2 2 3 3 3 2" xfId="2158" xr:uid="{00000000-0005-0000-0000-000065080000}"/>
    <cellStyle name="20% - Accent3 2 2 2 3 3 4" xfId="2159" xr:uid="{00000000-0005-0000-0000-000066080000}"/>
    <cellStyle name="20% - Accent3 2 2 2 3 4" xfId="2160" xr:uid="{00000000-0005-0000-0000-000067080000}"/>
    <cellStyle name="20% - Accent3 2 2 2 3 4 2" xfId="2161" xr:uid="{00000000-0005-0000-0000-000068080000}"/>
    <cellStyle name="20% - Accent3 2 2 2 3 4 2 2" xfId="2162" xr:uid="{00000000-0005-0000-0000-000069080000}"/>
    <cellStyle name="20% - Accent3 2 2 2 3 4 3" xfId="2163" xr:uid="{00000000-0005-0000-0000-00006A080000}"/>
    <cellStyle name="20% - Accent3 2 2 2 3 5" xfId="2164" xr:uid="{00000000-0005-0000-0000-00006B080000}"/>
    <cellStyle name="20% - Accent3 2 2 2 3 5 2" xfId="2165" xr:uid="{00000000-0005-0000-0000-00006C080000}"/>
    <cellStyle name="20% - Accent3 2 2 2 3 6" xfId="2166" xr:uid="{00000000-0005-0000-0000-00006D080000}"/>
    <cellStyle name="20% - Accent3 2 2 2 4" xfId="2167" xr:uid="{00000000-0005-0000-0000-00006E080000}"/>
    <cellStyle name="20% - Accent3 2 2 2 4 2" xfId="2168" xr:uid="{00000000-0005-0000-0000-00006F080000}"/>
    <cellStyle name="20% - Accent3 2 2 2 4 2 2" xfId="2169" xr:uid="{00000000-0005-0000-0000-000070080000}"/>
    <cellStyle name="20% - Accent3 2 2 2 4 2 2 2" xfId="2170" xr:uid="{00000000-0005-0000-0000-000071080000}"/>
    <cellStyle name="20% - Accent3 2 2 2 4 2 2 2 2" xfId="2171" xr:uid="{00000000-0005-0000-0000-000072080000}"/>
    <cellStyle name="20% - Accent3 2 2 2 4 2 2 3" xfId="2172" xr:uid="{00000000-0005-0000-0000-000073080000}"/>
    <cellStyle name="20% - Accent3 2 2 2 4 2 3" xfId="2173" xr:uid="{00000000-0005-0000-0000-000074080000}"/>
    <cellStyle name="20% - Accent3 2 2 2 4 2 3 2" xfId="2174" xr:uid="{00000000-0005-0000-0000-000075080000}"/>
    <cellStyle name="20% - Accent3 2 2 2 4 2 4" xfId="2175" xr:uid="{00000000-0005-0000-0000-000076080000}"/>
    <cellStyle name="20% - Accent3 2 2 2 4 3" xfId="2176" xr:uid="{00000000-0005-0000-0000-000077080000}"/>
    <cellStyle name="20% - Accent3 2 2 2 4 3 2" xfId="2177" xr:uid="{00000000-0005-0000-0000-000078080000}"/>
    <cellStyle name="20% - Accent3 2 2 2 4 3 2 2" xfId="2178" xr:uid="{00000000-0005-0000-0000-000079080000}"/>
    <cellStyle name="20% - Accent3 2 2 2 4 3 3" xfId="2179" xr:uid="{00000000-0005-0000-0000-00007A080000}"/>
    <cellStyle name="20% - Accent3 2 2 2 4 4" xfId="2180" xr:uid="{00000000-0005-0000-0000-00007B080000}"/>
    <cellStyle name="20% - Accent3 2 2 2 4 4 2" xfId="2181" xr:uid="{00000000-0005-0000-0000-00007C080000}"/>
    <cellStyle name="20% - Accent3 2 2 2 4 5" xfId="2182" xr:uid="{00000000-0005-0000-0000-00007D080000}"/>
    <cellStyle name="20% - Accent3 2 2 2 5" xfId="2183" xr:uid="{00000000-0005-0000-0000-00007E080000}"/>
    <cellStyle name="20% - Accent3 2 2 2 5 2" xfId="2184" xr:uid="{00000000-0005-0000-0000-00007F080000}"/>
    <cellStyle name="20% - Accent3 2 2 2 5 2 2" xfId="2185" xr:uid="{00000000-0005-0000-0000-000080080000}"/>
    <cellStyle name="20% - Accent3 2 2 2 5 2 2 2" xfId="2186" xr:uid="{00000000-0005-0000-0000-000081080000}"/>
    <cellStyle name="20% - Accent3 2 2 2 5 2 3" xfId="2187" xr:uid="{00000000-0005-0000-0000-000082080000}"/>
    <cellStyle name="20% - Accent3 2 2 2 5 3" xfId="2188" xr:uid="{00000000-0005-0000-0000-000083080000}"/>
    <cellStyle name="20% - Accent3 2 2 2 5 3 2" xfId="2189" xr:uid="{00000000-0005-0000-0000-000084080000}"/>
    <cellStyle name="20% - Accent3 2 2 2 5 4" xfId="2190" xr:uid="{00000000-0005-0000-0000-000085080000}"/>
    <cellStyle name="20% - Accent3 2 2 2 6" xfId="2191" xr:uid="{00000000-0005-0000-0000-000086080000}"/>
    <cellStyle name="20% - Accent3 2 2 2 6 2" xfId="2192" xr:uid="{00000000-0005-0000-0000-000087080000}"/>
    <cellStyle name="20% - Accent3 2 2 2 6 2 2" xfId="2193" xr:uid="{00000000-0005-0000-0000-000088080000}"/>
    <cellStyle name="20% - Accent3 2 2 2 6 3" xfId="2194" xr:uid="{00000000-0005-0000-0000-000089080000}"/>
    <cellStyle name="20% - Accent3 2 2 2 7" xfId="2195" xr:uid="{00000000-0005-0000-0000-00008A080000}"/>
    <cellStyle name="20% - Accent3 2 2 2 7 2" xfId="2196" xr:uid="{00000000-0005-0000-0000-00008B080000}"/>
    <cellStyle name="20% - Accent3 2 2 2 8" xfId="2197" xr:uid="{00000000-0005-0000-0000-00008C080000}"/>
    <cellStyle name="20% - Accent3 2 2 3" xfId="2198" xr:uid="{00000000-0005-0000-0000-00008D080000}"/>
    <cellStyle name="20% - Accent3 2 2 3 2" xfId="2199" xr:uid="{00000000-0005-0000-0000-00008E080000}"/>
    <cellStyle name="20% - Accent3 2 2 3 2 2" xfId="2200" xr:uid="{00000000-0005-0000-0000-00008F080000}"/>
    <cellStyle name="20% - Accent3 2 2 3 2 2 2" xfId="2201" xr:uid="{00000000-0005-0000-0000-000090080000}"/>
    <cellStyle name="20% - Accent3 2 2 3 2 2 2 2" xfId="2202" xr:uid="{00000000-0005-0000-0000-000091080000}"/>
    <cellStyle name="20% - Accent3 2 2 3 2 2 2 2 2" xfId="2203" xr:uid="{00000000-0005-0000-0000-000092080000}"/>
    <cellStyle name="20% - Accent3 2 2 3 2 2 2 2 2 2" xfId="2204" xr:uid="{00000000-0005-0000-0000-000093080000}"/>
    <cellStyle name="20% - Accent3 2 2 3 2 2 2 2 3" xfId="2205" xr:uid="{00000000-0005-0000-0000-000094080000}"/>
    <cellStyle name="20% - Accent3 2 2 3 2 2 2 3" xfId="2206" xr:uid="{00000000-0005-0000-0000-000095080000}"/>
    <cellStyle name="20% - Accent3 2 2 3 2 2 2 3 2" xfId="2207" xr:uid="{00000000-0005-0000-0000-000096080000}"/>
    <cellStyle name="20% - Accent3 2 2 3 2 2 2 4" xfId="2208" xr:uid="{00000000-0005-0000-0000-000097080000}"/>
    <cellStyle name="20% - Accent3 2 2 3 2 2 3" xfId="2209" xr:uid="{00000000-0005-0000-0000-000098080000}"/>
    <cellStyle name="20% - Accent3 2 2 3 2 2 3 2" xfId="2210" xr:uid="{00000000-0005-0000-0000-000099080000}"/>
    <cellStyle name="20% - Accent3 2 2 3 2 2 3 2 2" xfId="2211" xr:uid="{00000000-0005-0000-0000-00009A080000}"/>
    <cellStyle name="20% - Accent3 2 2 3 2 2 3 3" xfId="2212" xr:uid="{00000000-0005-0000-0000-00009B080000}"/>
    <cellStyle name="20% - Accent3 2 2 3 2 2 4" xfId="2213" xr:uid="{00000000-0005-0000-0000-00009C080000}"/>
    <cellStyle name="20% - Accent3 2 2 3 2 2 4 2" xfId="2214" xr:uid="{00000000-0005-0000-0000-00009D080000}"/>
    <cellStyle name="20% - Accent3 2 2 3 2 2 5" xfId="2215" xr:uid="{00000000-0005-0000-0000-00009E080000}"/>
    <cellStyle name="20% - Accent3 2 2 3 2 3" xfId="2216" xr:uid="{00000000-0005-0000-0000-00009F080000}"/>
    <cellStyle name="20% - Accent3 2 2 3 2 3 2" xfId="2217" xr:uid="{00000000-0005-0000-0000-0000A0080000}"/>
    <cellStyle name="20% - Accent3 2 2 3 2 3 2 2" xfId="2218" xr:uid="{00000000-0005-0000-0000-0000A1080000}"/>
    <cellStyle name="20% - Accent3 2 2 3 2 3 2 2 2" xfId="2219" xr:uid="{00000000-0005-0000-0000-0000A2080000}"/>
    <cellStyle name="20% - Accent3 2 2 3 2 3 2 3" xfId="2220" xr:uid="{00000000-0005-0000-0000-0000A3080000}"/>
    <cellStyle name="20% - Accent3 2 2 3 2 3 3" xfId="2221" xr:uid="{00000000-0005-0000-0000-0000A4080000}"/>
    <cellStyle name="20% - Accent3 2 2 3 2 3 3 2" xfId="2222" xr:uid="{00000000-0005-0000-0000-0000A5080000}"/>
    <cellStyle name="20% - Accent3 2 2 3 2 3 4" xfId="2223" xr:uid="{00000000-0005-0000-0000-0000A6080000}"/>
    <cellStyle name="20% - Accent3 2 2 3 2 4" xfId="2224" xr:uid="{00000000-0005-0000-0000-0000A7080000}"/>
    <cellStyle name="20% - Accent3 2 2 3 2 4 2" xfId="2225" xr:uid="{00000000-0005-0000-0000-0000A8080000}"/>
    <cellStyle name="20% - Accent3 2 2 3 2 4 2 2" xfId="2226" xr:uid="{00000000-0005-0000-0000-0000A9080000}"/>
    <cellStyle name="20% - Accent3 2 2 3 2 4 3" xfId="2227" xr:uid="{00000000-0005-0000-0000-0000AA080000}"/>
    <cellStyle name="20% - Accent3 2 2 3 2 5" xfId="2228" xr:uid="{00000000-0005-0000-0000-0000AB080000}"/>
    <cellStyle name="20% - Accent3 2 2 3 2 5 2" xfId="2229" xr:uid="{00000000-0005-0000-0000-0000AC080000}"/>
    <cellStyle name="20% - Accent3 2 2 3 2 6" xfId="2230" xr:uid="{00000000-0005-0000-0000-0000AD080000}"/>
    <cellStyle name="20% - Accent3 2 2 3 3" xfId="2231" xr:uid="{00000000-0005-0000-0000-0000AE080000}"/>
    <cellStyle name="20% - Accent3 2 2 3 3 2" xfId="2232" xr:uid="{00000000-0005-0000-0000-0000AF080000}"/>
    <cellStyle name="20% - Accent3 2 2 3 3 2 2" xfId="2233" xr:uid="{00000000-0005-0000-0000-0000B0080000}"/>
    <cellStyle name="20% - Accent3 2 2 3 3 2 2 2" xfId="2234" xr:uid="{00000000-0005-0000-0000-0000B1080000}"/>
    <cellStyle name="20% - Accent3 2 2 3 3 2 2 2 2" xfId="2235" xr:uid="{00000000-0005-0000-0000-0000B2080000}"/>
    <cellStyle name="20% - Accent3 2 2 3 3 2 2 3" xfId="2236" xr:uid="{00000000-0005-0000-0000-0000B3080000}"/>
    <cellStyle name="20% - Accent3 2 2 3 3 2 3" xfId="2237" xr:uid="{00000000-0005-0000-0000-0000B4080000}"/>
    <cellStyle name="20% - Accent3 2 2 3 3 2 3 2" xfId="2238" xr:uid="{00000000-0005-0000-0000-0000B5080000}"/>
    <cellStyle name="20% - Accent3 2 2 3 3 2 4" xfId="2239" xr:uid="{00000000-0005-0000-0000-0000B6080000}"/>
    <cellStyle name="20% - Accent3 2 2 3 3 3" xfId="2240" xr:uid="{00000000-0005-0000-0000-0000B7080000}"/>
    <cellStyle name="20% - Accent3 2 2 3 3 3 2" xfId="2241" xr:uid="{00000000-0005-0000-0000-0000B8080000}"/>
    <cellStyle name="20% - Accent3 2 2 3 3 3 2 2" xfId="2242" xr:uid="{00000000-0005-0000-0000-0000B9080000}"/>
    <cellStyle name="20% - Accent3 2 2 3 3 3 3" xfId="2243" xr:uid="{00000000-0005-0000-0000-0000BA080000}"/>
    <cellStyle name="20% - Accent3 2 2 3 3 4" xfId="2244" xr:uid="{00000000-0005-0000-0000-0000BB080000}"/>
    <cellStyle name="20% - Accent3 2 2 3 3 4 2" xfId="2245" xr:uid="{00000000-0005-0000-0000-0000BC080000}"/>
    <cellStyle name="20% - Accent3 2 2 3 3 5" xfId="2246" xr:uid="{00000000-0005-0000-0000-0000BD080000}"/>
    <cellStyle name="20% - Accent3 2 2 3 4" xfId="2247" xr:uid="{00000000-0005-0000-0000-0000BE080000}"/>
    <cellStyle name="20% - Accent3 2 2 3 4 2" xfId="2248" xr:uid="{00000000-0005-0000-0000-0000BF080000}"/>
    <cellStyle name="20% - Accent3 2 2 3 4 2 2" xfId="2249" xr:uid="{00000000-0005-0000-0000-0000C0080000}"/>
    <cellStyle name="20% - Accent3 2 2 3 4 2 2 2" xfId="2250" xr:uid="{00000000-0005-0000-0000-0000C1080000}"/>
    <cellStyle name="20% - Accent3 2 2 3 4 2 3" xfId="2251" xr:uid="{00000000-0005-0000-0000-0000C2080000}"/>
    <cellStyle name="20% - Accent3 2 2 3 4 3" xfId="2252" xr:uid="{00000000-0005-0000-0000-0000C3080000}"/>
    <cellStyle name="20% - Accent3 2 2 3 4 3 2" xfId="2253" xr:uid="{00000000-0005-0000-0000-0000C4080000}"/>
    <cellStyle name="20% - Accent3 2 2 3 4 4" xfId="2254" xr:uid="{00000000-0005-0000-0000-0000C5080000}"/>
    <cellStyle name="20% - Accent3 2 2 3 5" xfId="2255" xr:uid="{00000000-0005-0000-0000-0000C6080000}"/>
    <cellStyle name="20% - Accent3 2 2 3 5 2" xfId="2256" xr:uid="{00000000-0005-0000-0000-0000C7080000}"/>
    <cellStyle name="20% - Accent3 2 2 3 5 2 2" xfId="2257" xr:uid="{00000000-0005-0000-0000-0000C8080000}"/>
    <cellStyle name="20% - Accent3 2 2 3 5 3" xfId="2258" xr:uid="{00000000-0005-0000-0000-0000C9080000}"/>
    <cellStyle name="20% - Accent3 2 2 3 6" xfId="2259" xr:uid="{00000000-0005-0000-0000-0000CA080000}"/>
    <cellStyle name="20% - Accent3 2 2 3 6 2" xfId="2260" xr:uid="{00000000-0005-0000-0000-0000CB080000}"/>
    <cellStyle name="20% - Accent3 2 2 3 7" xfId="2261" xr:uid="{00000000-0005-0000-0000-0000CC080000}"/>
    <cellStyle name="20% - Accent3 2 2 4" xfId="2262" xr:uid="{00000000-0005-0000-0000-0000CD080000}"/>
    <cellStyle name="20% - Accent3 2 2 4 2" xfId="2263" xr:uid="{00000000-0005-0000-0000-0000CE080000}"/>
    <cellStyle name="20% - Accent3 2 2 4 2 2" xfId="2264" xr:uid="{00000000-0005-0000-0000-0000CF080000}"/>
    <cellStyle name="20% - Accent3 2 2 4 2 2 2" xfId="2265" xr:uid="{00000000-0005-0000-0000-0000D0080000}"/>
    <cellStyle name="20% - Accent3 2 2 4 2 2 2 2" xfId="2266" xr:uid="{00000000-0005-0000-0000-0000D1080000}"/>
    <cellStyle name="20% - Accent3 2 2 4 2 2 2 2 2" xfId="2267" xr:uid="{00000000-0005-0000-0000-0000D2080000}"/>
    <cellStyle name="20% - Accent3 2 2 4 2 2 2 3" xfId="2268" xr:uid="{00000000-0005-0000-0000-0000D3080000}"/>
    <cellStyle name="20% - Accent3 2 2 4 2 2 3" xfId="2269" xr:uid="{00000000-0005-0000-0000-0000D4080000}"/>
    <cellStyle name="20% - Accent3 2 2 4 2 2 3 2" xfId="2270" xr:uid="{00000000-0005-0000-0000-0000D5080000}"/>
    <cellStyle name="20% - Accent3 2 2 4 2 2 4" xfId="2271" xr:uid="{00000000-0005-0000-0000-0000D6080000}"/>
    <cellStyle name="20% - Accent3 2 2 4 2 3" xfId="2272" xr:uid="{00000000-0005-0000-0000-0000D7080000}"/>
    <cellStyle name="20% - Accent3 2 2 4 2 3 2" xfId="2273" xr:uid="{00000000-0005-0000-0000-0000D8080000}"/>
    <cellStyle name="20% - Accent3 2 2 4 2 3 2 2" xfId="2274" xr:uid="{00000000-0005-0000-0000-0000D9080000}"/>
    <cellStyle name="20% - Accent3 2 2 4 2 3 3" xfId="2275" xr:uid="{00000000-0005-0000-0000-0000DA080000}"/>
    <cellStyle name="20% - Accent3 2 2 4 2 4" xfId="2276" xr:uid="{00000000-0005-0000-0000-0000DB080000}"/>
    <cellStyle name="20% - Accent3 2 2 4 2 4 2" xfId="2277" xr:uid="{00000000-0005-0000-0000-0000DC080000}"/>
    <cellStyle name="20% - Accent3 2 2 4 2 5" xfId="2278" xr:uid="{00000000-0005-0000-0000-0000DD080000}"/>
    <cellStyle name="20% - Accent3 2 2 4 3" xfId="2279" xr:uid="{00000000-0005-0000-0000-0000DE080000}"/>
    <cellStyle name="20% - Accent3 2 2 4 3 2" xfId="2280" xr:uid="{00000000-0005-0000-0000-0000DF080000}"/>
    <cellStyle name="20% - Accent3 2 2 4 3 2 2" xfId="2281" xr:uid="{00000000-0005-0000-0000-0000E0080000}"/>
    <cellStyle name="20% - Accent3 2 2 4 3 2 2 2" xfId="2282" xr:uid="{00000000-0005-0000-0000-0000E1080000}"/>
    <cellStyle name="20% - Accent3 2 2 4 3 2 3" xfId="2283" xr:uid="{00000000-0005-0000-0000-0000E2080000}"/>
    <cellStyle name="20% - Accent3 2 2 4 3 3" xfId="2284" xr:uid="{00000000-0005-0000-0000-0000E3080000}"/>
    <cellStyle name="20% - Accent3 2 2 4 3 3 2" xfId="2285" xr:uid="{00000000-0005-0000-0000-0000E4080000}"/>
    <cellStyle name="20% - Accent3 2 2 4 3 4" xfId="2286" xr:uid="{00000000-0005-0000-0000-0000E5080000}"/>
    <cellStyle name="20% - Accent3 2 2 4 4" xfId="2287" xr:uid="{00000000-0005-0000-0000-0000E6080000}"/>
    <cellStyle name="20% - Accent3 2 2 4 4 2" xfId="2288" xr:uid="{00000000-0005-0000-0000-0000E7080000}"/>
    <cellStyle name="20% - Accent3 2 2 4 4 2 2" xfId="2289" xr:uid="{00000000-0005-0000-0000-0000E8080000}"/>
    <cellStyle name="20% - Accent3 2 2 4 4 3" xfId="2290" xr:uid="{00000000-0005-0000-0000-0000E9080000}"/>
    <cellStyle name="20% - Accent3 2 2 4 5" xfId="2291" xr:uid="{00000000-0005-0000-0000-0000EA080000}"/>
    <cellStyle name="20% - Accent3 2 2 4 5 2" xfId="2292" xr:uid="{00000000-0005-0000-0000-0000EB080000}"/>
    <cellStyle name="20% - Accent3 2 2 4 6" xfId="2293" xr:uid="{00000000-0005-0000-0000-0000EC080000}"/>
    <cellStyle name="20% - Accent3 2 2 5" xfId="2294" xr:uid="{00000000-0005-0000-0000-0000ED080000}"/>
    <cellStyle name="20% - Accent3 2 2 5 2" xfId="2295" xr:uid="{00000000-0005-0000-0000-0000EE080000}"/>
    <cellStyle name="20% - Accent3 2 2 5 2 2" xfId="2296" xr:uid="{00000000-0005-0000-0000-0000EF080000}"/>
    <cellStyle name="20% - Accent3 2 2 5 2 2 2" xfId="2297" xr:uid="{00000000-0005-0000-0000-0000F0080000}"/>
    <cellStyle name="20% - Accent3 2 2 5 2 2 2 2" xfId="2298" xr:uid="{00000000-0005-0000-0000-0000F1080000}"/>
    <cellStyle name="20% - Accent3 2 2 5 2 2 3" xfId="2299" xr:uid="{00000000-0005-0000-0000-0000F2080000}"/>
    <cellStyle name="20% - Accent3 2 2 5 2 3" xfId="2300" xr:uid="{00000000-0005-0000-0000-0000F3080000}"/>
    <cellStyle name="20% - Accent3 2 2 5 2 3 2" xfId="2301" xr:uid="{00000000-0005-0000-0000-0000F4080000}"/>
    <cellStyle name="20% - Accent3 2 2 5 2 4" xfId="2302" xr:uid="{00000000-0005-0000-0000-0000F5080000}"/>
    <cellStyle name="20% - Accent3 2 2 5 3" xfId="2303" xr:uid="{00000000-0005-0000-0000-0000F6080000}"/>
    <cellStyle name="20% - Accent3 2 2 5 3 2" xfId="2304" xr:uid="{00000000-0005-0000-0000-0000F7080000}"/>
    <cellStyle name="20% - Accent3 2 2 5 3 2 2" xfId="2305" xr:uid="{00000000-0005-0000-0000-0000F8080000}"/>
    <cellStyle name="20% - Accent3 2 2 5 3 3" xfId="2306" xr:uid="{00000000-0005-0000-0000-0000F9080000}"/>
    <cellStyle name="20% - Accent3 2 2 5 4" xfId="2307" xr:uid="{00000000-0005-0000-0000-0000FA080000}"/>
    <cellStyle name="20% - Accent3 2 2 5 4 2" xfId="2308" xr:uid="{00000000-0005-0000-0000-0000FB080000}"/>
    <cellStyle name="20% - Accent3 2 2 5 5" xfId="2309" xr:uid="{00000000-0005-0000-0000-0000FC080000}"/>
    <cellStyle name="20% - Accent3 2 2 6" xfId="2310" xr:uid="{00000000-0005-0000-0000-0000FD080000}"/>
    <cellStyle name="20% - Accent3 2 2 6 2" xfId="2311" xr:uid="{00000000-0005-0000-0000-0000FE080000}"/>
    <cellStyle name="20% - Accent3 2 2 6 2 2" xfId="2312" xr:uid="{00000000-0005-0000-0000-0000FF080000}"/>
    <cellStyle name="20% - Accent3 2 2 6 2 2 2" xfId="2313" xr:uid="{00000000-0005-0000-0000-000000090000}"/>
    <cellStyle name="20% - Accent3 2 2 6 2 3" xfId="2314" xr:uid="{00000000-0005-0000-0000-000001090000}"/>
    <cellStyle name="20% - Accent3 2 2 6 3" xfId="2315" xr:uid="{00000000-0005-0000-0000-000002090000}"/>
    <cellStyle name="20% - Accent3 2 2 6 3 2" xfId="2316" xr:uid="{00000000-0005-0000-0000-000003090000}"/>
    <cellStyle name="20% - Accent3 2 2 6 4" xfId="2317" xr:uid="{00000000-0005-0000-0000-000004090000}"/>
    <cellStyle name="20% - Accent3 2 2 7" xfId="2318" xr:uid="{00000000-0005-0000-0000-000005090000}"/>
    <cellStyle name="20% - Accent3 2 2 7 2" xfId="2319" xr:uid="{00000000-0005-0000-0000-000006090000}"/>
    <cellStyle name="20% - Accent3 2 2 7 2 2" xfId="2320" xr:uid="{00000000-0005-0000-0000-000007090000}"/>
    <cellStyle name="20% - Accent3 2 2 7 3" xfId="2321" xr:uid="{00000000-0005-0000-0000-000008090000}"/>
    <cellStyle name="20% - Accent3 2 2 8" xfId="2322" xr:uid="{00000000-0005-0000-0000-000009090000}"/>
    <cellStyle name="20% - Accent3 2 2 8 2" xfId="2323" xr:uid="{00000000-0005-0000-0000-00000A090000}"/>
    <cellStyle name="20% - Accent3 2 2 9" xfId="2324" xr:uid="{00000000-0005-0000-0000-00000B090000}"/>
    <cellStyle name="20% - Accent3 2 3" xfId="2325" xr:uid="{00000000-0005-0000-0000-00000C090000}"/>
    <cellStyle name="20% - Accent3 2 3 2" xfId="2326" xr:uid="{00000000-0005-0000-0000-00000D090000}"/>
    <cellStyle name="20% - Accent3 2 3 2 2" xfId="2327" xr:uid="{00000000-0005-0000-0000-00000E090000}"/>
    <cellStyle name="20% - Accent3 2 3 2 2 2" xfId="2328" xr:uid="{00000000-0005-0000-0000-00000F090000}"/>
    <cellStyle name="20% - Accent3 2 3 2 2 2 2" xfId="2329" xr:uid="{00000000-0005-0000-0000-000010090000}"/>
    <cellStyle name="20% - Accent3 2 3 2 2 2 2 2" xfId="2330" xr:uid="{00000000-0005-0000-0000-000011090000}"/>
    <cellStyle name="20% - Accent3 2 3 2 2 2 2 2 2" xfId="2331" xr:uid="{00000000-0005-0000-0000-000012090000}"/>
    <cellStyle name="20% - Accent3 2 3 2 2 2 2 2 2 2" xfId="2332" xr:uid="{00000000-0005-0000-0000-000013090000}"/>
    <cellStyle name="20% - Accent3 2 3 2 2 2 2 2 3" xfId="2333" xr:uid="{00000000-0005-0000-0000-000014090000}"/>
    <cellStyle name="20% - Accent3 2 3 2 2 2 2 3" xfId="2334" xr:uid="{00000000-0005-0000-0000-000015090000}"/>
    <cellStyle name="20% - Accent3 2 3 2 2 2 2 3 2" xfId="2335" xr:uid="{00000000-0005-0000-0000-000016090000}"/>
    <cellStyle name="20% - Accent3 2 3 2 2 2 2 4" xfId="2336" xr:uid="{00000000-0005-0000-0000-000017090000}"/>
    <cellStyle name="20% - Accent3 2 3 2 2 2 3" xfId="2337" xr:uid="{00000000-0005-0000-0000-000018090000}"/>
    <cellStyle name="20% - Accent3 2 3 2 2 2 3 2" xfId="2338" xr:uid="{00000000-0005-0000-0000-000019090000}"/>
    <cellStyle name="20% - Accent3 2 3 2 2 2 3 2 2" xfId="2339" xr:uid="{00000000-0005-0000-0000-00001A090000}"/>
    <cellStyle name="20% - Accent3 2 3 2 2 2 3 3" xfId="2340" xr:uid="{00000000-0005-0000-0000-00001B090000}"/>
    <cellStyle name="20% - Accent3 2 3 2 2 2 4" xfId="2341" xr:uid="{00000000-0005-0000-0000-00001C090000}"/>
    <cellStyle name="20% - Accent3 2 3 2 2 2 4 2" xfId="2342" xr:uid="{00000000-0005-0000-0000-00001D090000}"/>
    <cellStyle name="20% - Accent3 2 3 2 2 2 5" xfId="2343" xr:uid="{00000000-0005-0000-0000-00001E090000}"/>
    <cellStyle name="20% - Accent3 2 3 2 2 3" xfId="2344" xr:uid="{00000000-0005-0000-0000-00001F090000}"/>
    <cellStyle name="20% - Accent3 2 3 2 2 3 2" xfId="2345" xr:uid="{00000000-0005-0000-0000-000020090000}"/>
    <cellStyle name="20% - Accent3 2 3 2 2 3 2 2" xfId="2346" xr:uid="{00000000-0005-0000-0000-000021090000}"/>
    <cellStyle name="20% - Accent3 2 3 2 2 3 2 2 2" xfId="2347" xr:uid="{00000000-0005-0000-0000-000022090000}"/>
    <cellStyle name="20% - Accent3 2 3 2 2 3 2 3" xfId="2348" xr:uid="{00000000-0005-0000-0000-000023090000}"/>
    <cellStyle name="20% - Accent3 2 3 2 2 3 3" xfId="2349" xr:uid="{00000000-0005-0000-0000-000024090000}"/>
    <cellStyle name="20% - Accent3 2 3 2 2 3 3 2" xfId="2350" xr:uid="{00000000-0005-0000-0000-000025090000}"/>
    <cellStyle name="20% - Accent3 2 3 2 2 3 4" xfId="2351" xr:uid="{00000000-0005-0000-0000-000026090000}"/>
    <cellStyle name="20% - Accent3 2 3 2 2 4" xfId="2352" xr:uid="{00000000-0005-0000-0000-000027090000}"/>
    <cellStyle name="20% - Accent3 2 3 2 2 4 2" xfId="2353" xr:uid="{00000000-0005-0000-0000-000028090000}"/>
    <cellStyle name="20% - Accent3 2 3 2 2 4 2 2" xfId="2354" xr:uid="{00000000-0005-0000-0000-000029090000}"/>
    <cellStyle name="20% - Accent3 2 3 2 2 4 3" xfId="2355" xr:uid="{00000000-0005-0000-0000-00002A090000}"/>
    <cellStyle name="20% - Accent3 2 3 2 2 5" xfId="2356" xr:uid="{00000000-0005-0000-0000-00002B090000}"/>
    <cellStyle name="20% - Accent3 2 3 2 2 5 2" xfId="2357" xr:uid="{00000000-0005-0000-0000-00002C090000}"/>
    <cellStyle name="20% - Accent3 2 3 2 2 6" xfId="2358" xr:uid="{00000000-0005-0000-0000-00002D090000}"/>
    <cellStyle name="20% - Accent3 2 3 2 3" xfId="2359" xr:uid="{00000000-0005-0000-0000-00002E090000}"/>
    <cellStyle name="20% - Accent3 2 3 2 3 2" xfId="2360" xr:uid="{00000000-0005-0000-0000-00002F090000}"/>
    <cellStyle name="20% - Accent3 2 3 2 3 2 2" xfId="2361" xr:uid="{00000000-0005-0000-0000-000030090000}"/>
    <cellStyle name="20% - Accent3 2 3 2 3 2 2 2" xfId="2362" xr:uid="{00000000-0005-0000-0000-000031090000}"/>
    <cellStyle name="20% - Accent3 2 3 2 3 2 2 2 2" xfId="2363" xr:uid="{00000000-0005-0000-0000-000032090000}"/>
    <cellStyle name="20% - Accent3 2 3 2 3 2 2 3" xfId="2364" xr:uid="{00000000-0005-0000-0000-000033090000}"/>
    <cellStyle name="20% - Accent3 2 3 2 3 2 3" xfId="2365" xr:uid="{00000000-0005-0000-0000-000034090000}"/>
    <cellStyle name="20% - Accent3 2 3 2 3 2 3 2" xfId="2366" xr:uid="{00000000-0005-0000-0000-000035090000}"/>
    <cellStyle name="20% - Accent3 2 3 2 3 2 4" xfId="2367" xr:uid="{00000000-0005-0000-0000-000036090000}"/>
    <cellStyle name="20% - Accent3 2 3 2 3 3" xfId="2368" xr:uid="{00000000-0005-0000-0000-000037090000}"/>
    <cellStyle name="20% - Accent3 2 3 2 3 3 2" xfId="2369" xr:uid="{00000000-0005-0000-0000-000038090000}"/>
    <cellStyle name="20% - Accent3 2 3 2 3 3 2 2" xfId="2370" xr:uid="{00000000-0005-0000-0000-000039090000}"/>
    <cellStyle name="20% - Accent3 2 3 2 3 3 3" xfId="2371" xr:uid="{00000000-0005-0000-0000-00003A090000}"/>
    <cellStyle name="20% - Accent3 2 3 2 3 4" xfId="2372" xr:uid="{00000000-0005-0000-0000-00003B090000}"/>
    <cellStyle name="20% - Accent3 2 3 2 3 4 2" xfId="2373" xr:uid="{00000000-0005-0000-0000-00003C090000}"/>
    <cellStyle name="20% - Accent3 2 3 2 3 5" xfId="2374" xr:uid="{00000000-0005-0000-0000-00003D090000}"/>
    <cellStyle name="20% - Accent3 2 3 2 4" xfId="2375" xr:uid="{00000000-0005-0000-0000-00003E090000}"/>
    <cellStyle name="20% - Accent3 2 3 2 4 2" xfId="2376" xr:uid="{00000000-0005-0000-0000-00003F090000}"/>
    <cellStyle name="20% - Accent3 2 3 2 4 2 2" xfId="2377" xr:uid="{00000000-0005-0000-0000-000040090000}"/>
    <cellStyle name="20% - Accent3 2 3 2 4 2 2 2" xfId="2378" xr:uid="{00000000-0005-0000-0000-000041090000}"/>
    <cellStyle name="20% - Accent3 2 3 2 4 2 3" xfId="2379" xr:uid="{00000000-0005-0000-0000-000042090000}"/>
    <cellStyle name="20% - Accent3 2 3 2 4 3" xfId="2380" xr:uid="{00000000-0005-0000-0000-000043090000}"/>
    <cellStyle name="20% - Accent3 2 3 2 4 3 2" xfId="2381" xr:uid="{00000000-0005-0000-0000-000044090000}"/>
    <cellStyle name="20% - Accent3 2 3 2 4 4" xfId="2382" xr:uid="{00000000-0005-0000-0000-000045090000}"/>
    <cellStyle name="20% - Accent3 2 3 2 5" xfId="2383" xr:uid="{00000000-0005-0000-0000-000046090000}"/>
    <cellStyle name="20% - Accent3 2 3 2 5 2" xfId="2384" xr:uid="{00000000-0005-0000-0000-000047090000}"/>
    <cellStyle name="20% - Accent3 2 3 2 5 2 2" xfId="2385" xr:uid="{00000000-0005-0000-0000-000048090000}"/>
    <cellStyle name="20% - Accent3 2 3 2 5 3" xfId="2386" xr:uid="{00000000-0005-0000-0000-000049090000}"/>
    <cellStyle name="20% - Accent3 2 3 2 6" xfId="2387" xr:uid="{00000000-0005-0000-0000-00004A090000}"/>
    <cellStyle name="20% - Accent3 2 3 2 6 2" xfId="2388" xr:uid="{00000000-0005-0000-0000-00004B090000}"/>
    <cellStyle name="20% - Accent3 2 3 2 7" xfId="2389" xr:uid="{00000000-0005-0000-0000-00004C090000}"/>
    <cellStyle name="20% - Accent3 2 3 3" xfId="2390" xr:uid="{00000000-0005-0000-0000-00004D090000}"/>
    <cellStyle name="20% - Accent3 2 3 3 2" xfId="2391" xr:uid="{00000000-0005-0000-0000-00004E090000}"/>
    <cellStyle name="20% - Accent3 2 3 3 2 2" xfId="2392" xr:uid="{00000000-0005-0000-0000-00004F090000}"/>
    <cellStyle name="20% - Accent3 2 3 3 2 2 2" xfId="2393" xr:uid="{00000000-0005-0000-0000-000050090000}"/>
    <cellStyle name="20% - Accent3 2 3 3 2 2 2 2" xfId="2394" xr:uid="{00000000-0005-0000-0000-000051090000}"/>
    <cellStyle name="20% - Accent3 2 3 3 2 2 2 2 2" xfId="2395" xr:uid="{00000000-0005-0000-0000-000052090000}"/>
    <cellStyle name="20% - Accent3 2 3 3 2 2 2 3" xfId="2396" xr:uid="{00000000-0005-0000-0000-000053090000}"/>
    <cellStyle name="20% - Accent3 2 3 3 2 2 3" xfId="2397" xr:uid="{00000000-0005-0000-0000-000054090000}"/>
    <cellStyle name="20% - Accent3 2 3 3 2 2 3 2" xfId="2398" xr:uid="{00000000-0005-0000-0000-000055090000}"/>
    <cellStyle name="20% - Accent3 2 3 3 2 2 4" xfId="2399" xr:uid="{00000000-0005-0000-0000-000056090000}"/>
    <cellStyle name="20% - Accent3 2 3 3 2 3" xfId="2400" xr:uid="{00000000-0005-0000-0000-000057090000}"/>
    <cellStyle name="20% - Accent3 2 3 3 2 3 2" xfId="2401" xr:uid="{00000000-0005-0000-0000-000058090000}"/>
    <cellStyle name="20% - Accent3 2 3 3 2 3 2 2" xfId="2402" xr:uid="{00000000-0005-0000-0000-000059090000}"/>
    <cellStyle name="20% - Accent3 2 3 3 2 3 3" xfId="2403" xr:uid="{00000000-0005-0000-0000-00005A090000}"/>
    <cellStyle name="20% - Accent3 2 3 3 2 4" xfId="2404" xr:uid="{00000000-0005-0000-0000-00005B090000}"/>
    <cellStyle name="20% - Accent3 2 3 3 2 4 2" xfId="2405" xr:uid="{00000000-0005-0000-0000-00005C090000}"/>
    <cellStyle name="20% - Accent3 2 3 3 2 5" xfId="2406" xr:uid="{00000000-0005-0000-0000-00005D090000}"/>
    <cellStyle name="20% - Accent3 2 3 3 3" xfId="2407" xr:uid="{00000000-0005-0000-0000-00005E090000}"/>
    <cellStyle name="20% - Accent3 2 3 3 3 2" xfId="2408" xr:uid="{00000000-0005-0000-0000-00005F090000}"/>
    <cellStyle name="20% - Accent3 2 3 3 3 2 2" xfId="2409" xr:uid="{00000000-0005-0000-0000-000060090000}"/>
    <cellStyle name="20% - Accent3 2 3 3 3 2 2 2" xfId="2410" xr:uid="{00000000-0005-0000-0000-000061090000}"/>
    <cellStyle name="20% - Accent3 2 3 3 3 2 3" xfId="2411" xr:uid="{00000000-0005-0000-0000-000062090000}"/>
    <cellStyle name="20% - Accent3 2 3 3 3 3" xfId="2412" xr:uid="{00000000-0005-0000-0000-000063090000}"/>
    <cellStyle name="20% - Accent3 2 3 3 3 3 2" xfId="2413" xr:uid="{00000000-0005-0000-0000-000064090000}"/>
    <cellStyle name="20% - Accent3 2 3 3 3 4" xfId="2414" xr:uid="{00000000-0005-0000-0000-000065090000}"/>
    <cellStyle name="20% - Accent3 2 3 3 4" xfId="2415" xr:uid="{00000000-0005-0000-0000-000066090000}"/>
    <cellStyle name="20% - Accent3 2 3 3 4 2" xfId="2416" xr:uid="{00000000-0005-0000-0000-000067090000}"/>
    <cellStyle name="20% - Accent3 2 3 3 4 2 2" xfId="2417" xr:uid="{00000000-0005-0000-0000-000068090000}"/>
    <cellStyle name="20% - Accent3 2 3 3 4 3" xfId="2418" xr:uid="{00000000-0005-0000-0000-000069090000}"/>
    <cellStyle name="20% - Accent3 2 3 3 5" xfId="2419" xr:uid="{00000000-0005-0000-0000-00006A090000}"/>
    <cellStyle name="20% - Accent3 2 3 3 5 2" xfId="2420" xr:uid="{00000000-0005-0000-0000-00006B090000}"/>
    <cellStyle name="20% - Accent3 2 3 3 6" xfId="2421" xr:uid="{00000000-0005-0000-0000-00006C090000}"/>
    <cellStyle name="20% - Accent3 2 3 4" xfId="2422" xr:uid="{00000000-0005-0000-0000-00006D090000}"/>
    <cellStyle name="20% - Accent3 2 3 4 2" xfId="2423" xr:uid="{00000000-0005-0000-0000-00006E090000}"/>
    <cellStyle name="20% - Accent3 2 3 4 2 2" xfId="2424" xr:uid="{00000000-0005-0000-0000-00006F090000}"/>
    <cellStyle name="20% - Accent3 2 3 4 2 2 2" xfId="2425" xr:uid="{00000000-0005-0000-0000-000070090000}"/>
    <cellStyle name="20% - Accent3 2 3 4 2 2 2 2" xfId="2426" xr:uid="{00000000-0005-0000-0000-000071090000}"/>
    <cellStyle name="20% - Accent3 2 3 4 2 2 3" xfId="2427" xr:uid="{00000000-0005-0000-0000-000072090000}"/>
    <cellStyle name="20% - Accent3 2 3 4 2 3" xfId="2428" xr:uid="{00000000-0005-0000-0000-000073090000}"/>
    <cellStyle name="20% - Accent3 2 3 4 2 3 2" xfId="2429" xr:uid="{00000000-0005-0000-0000-000074090000}"/>
    <cellStyle name="20% - Accent3 2 3 4 2 4" xfId="2430" xr:uid="{00000000-0005-0000-0000-000075090000}"/>
    <cellStyle name="20% - Accent3 2 3 4 3" xfId="2431" xr:uid="{00000000-0005-0000-0000-000076090000}"/>
    <cellStyle name="20% - Accent3 2 3 4 3 2" xfId="2432" xr:uid="{00000000-0005-0000-0000-000077090000}"/>
    <cellStyle name="20% - Accent3 2 3 4 3 2 2" xfId="2433" xr:uid="{00000000-0005-0000-0000-000078090000}"/>
    <cellStyle name="20% - Accent3 2 3 4 3 3" xfId="2434" xr:uid="{00000000-0005-0000-0000-000079090000}"/>
    <cellStyle name="20% - Accent3 2 3 4 4" xfId="2435" xr:uid="{00000000-0005-0000-0000-00007A090000}"/>
    <cellStyle name="20% - Accent3 2 3 4 4 2" xfId="2436" xr:uid="{00000000-0005-0000-0000-00007B090000}"/>
    <cellStyle name="20% - Accent3 2 3 4 5" xfId="2437" xr:uid="{00000000-0005-0000-0000-00007C090000}"/>
    <cellStyle name="20% - Accent3 2 3 5" xfId="2438" xr:uid="{00000000-0005-0000-0000-00007D090000}"/>
    <cellStyle name="20% - Accent3 2 3 5 2" xfId="2439" xr:uid="{00000000-0005-0000-0000-00007E090000}"/>
    <cellStyle name="20% - Accent3 2 3 5 2 2" xfId="2440" xr:uid="{00000000-0005-0000-0000-00007F090000}"/>
    <cellStyle name="20% - Accent3 2 3 5 2 2 2" xfId="2441" xr:uid="{00000000-0005-0000-0000-000080090000}"/>
    <cellStyle name="20% - Accent3 2 3 5 2 3" xfId="2442" xr:uid="{00000000-0005-0000-0000-000081090000}"/>
    <cellStyle name="20% - Accent3 2 3 5 3" xfId="2443" xr:uid="{00000000-0005-0000-0000-000082090000}"/>
    <cellStyle name="20% - Accent3 2 3 5 3 2" xfId="2444" xr:uid="{00000000-0005-0000-0000-000083090000}"/>
    <cellStyle name="20% - Accent3 2 3 5 4" xfId="2445" xr:uid="{00000000-0005-0000-0000-000084090000}"/>
    <cellStyle name="20% - Accent3 2 3 6" xfId="2446" xr:uid="{00000000-0005-0000-0000-000085090000}"/>
    <cellStyle name="20% - Accent3 2 3 6 2" xfId="2447" xr:uid="{00000000-0005-0000-0000-000086090000}"/>
    <cellStyle name="20% - Accent3 2 3 6 2 2" xfId="2448" xr:uid="{00000000-0005-0000-0000-000087090000}"/>
    <cellStyle name="20% - Accent3 2 3 6 3" xfId="2449" xr:uid="{00000000-0005-0000-0000-000088090000}"/>
    <cellStyle name="20% - Accent3 2 3 7" xfId="2450" xr:uid="{00000000-0005-0000-0000-000089090000}"/>
    <cellStyle name="20% - Accent3 2 3 7 2" xfId="2451" xr:uid="{00000000-0005-0000-0000-00008A090000}"/>
    <cellStyle name="20% - Accent3 2 3 8" xfId="2452" xr:uid="{00000000-0005-0000-0000-00008B090000}"/>
    <cellStyle name="20% - Accent3 2 4" xfId="2453" xr:uid="{00000000-0005-0000-0000-00008C090000}"/>
    <cellStyle name="20% - Accent3 2 4 2" xfId="2454" xr:uid="{00000000-0005-0000-0000-00008D090000}"/>
    <cellStyle name="20% - Accent3 2 4 2 2" xfId="2455" xr:uid="{00000000-0005-0000-0000-00008E090000}"/>
    <cellStyle name="20% - Accent3 2 4 2 2 2" xfId="2456" xr:uid="{00000000-0005-0000-0000-00008F090000}"/>
    <cellStyle name="20% - Accent3 2 4 2 2 2 2" xfId="2457" xr:uid="{00000000-0005-0000-0000-000090090000}"/>
    <cellStyle name="20% - Accent3 2 4 2 2 2 2 2" xfId="2458" xr:uid="{00000000-0005-0000-0000-000091090000}"/>
    <cellStyle name="20% - Accent3 2 4 2 2 2 2 2 2" xfId="2459" xr:uid="{00000000-0005-0000-0000-000092090000}"/>
    <cellStyle name="20% - Accent3 2 4 2 2 2 2 3" xfId="2460" xr:uid="{00000000-0005-0000-0000-000093090000}"/>
    <cellStyle name="20% - Accent3 2 4 2 2 2 3" xfId="2461" xr:uid="{00000000-0005-0000-0000-000094090000}"/>
    <cellStyle name="20% - Accent3 2 4 2 2 2 3 2" xfId="2462" xr:uid="{00000000-0005-0000-0000-000095090000}"/>
    <cellStyle name="20% - Accent3 2 4 2 2 2 4" xfId="2463" xr:uid="{00000000-0005-0000-0000-000096090000}"/>
    <cellStyle name="20% - Accent3 2 4 2 2 3" xfId="2464" xr:uid="{00000000-0005-0000-0000-000097090000}"/>
    <cellStyle name="20% - Accent3 2 4 2 2 3 2" xfId="2465" xr:uid="{00000000-0005-0000-0000-000098090000}"/>
    <cellStyle name="20% - Accent3 2 4 2 2 3 2 2" xfId="2466" xr:uid="{00000000-0005-0000-0000-000099090000}"/>
    <cellStyle name="20% - Accent3 2 4 2 2 3 3" xfId="2467" xr:uid="{00000000-0005-0000-0000-00009A090000}"/>
    <cellStyle name="20% - Accent3 2 4 2 2 4" xfId="2468" xr:uid="{00000000-0005-0000-0000-00009B090000}"/>
    <cellStyle name="20% - Accent3 2 4 2 2 4 2" xfId="2469" xr:uid="{00000000-0005-0000-0000-00009C090000}"/>
    <cellStyle name="20% - Accent3 2 4 2 2 5" xfId="2470" xr:uid="{00000000-0005-0000-0000-00009D090000}"/>
    <cellStyle name="20% - Accent3 2 4 2 3" xfId="2471" xr:uid="{00000000-0005-0000-0000-00009E090000}"/>
    <cellStyle name="20% - Accent3 2 4 2 3 2" xfId="2472" xr:uid="{00000000-0005-0000-0000-00009F090000}"/>
    <cellStyle name="20% - Accent3 2 4 2 3 2 2" xfId="2473" xr:uid="{00000000-0005-0000-0000-0000A0090000}"/>
    <cellStyle name="20% - Accent3 2 4 2 3 2 2 2" xfId="2474" xr:uid="{00000000-0005-0000-0000-0000A1090000}"/>
    <cellStyle name="20% - Accent3 2 4 2 3 2 3" xfId="2475" xr:uid="{00000000-0005-0000-0000-0000A2090000}"/>
    <cellStyle name="20% - Accent3 2 4 2 3 3" xfId="2476" xr:uid="{00000000-0005-0000-0000-0000A3090000}"/>
    <cellStyle name="20% - Accent3 2 4 2 3 3 2" xfId="2477" xr:uid="{00000000-0005-0000-0000-0000A4090000}"/>
    <cellStyle name="20% - Accent3 2 4 2 3 4" xfId="2478" xr:uid="{00000000-0005-0000-0000-0000A5090000}"/>
    <cellStyle name="20% - Accent3 2 4 2 4" xfId="2479" xr:uid="{00000000-0005-0000-0000-0000A6090000}"/>
    <cellStyle name="20% - Accent3 2 4 2 4 2" xfId="2480" xr:uid="{00000000-0005-0000-0000-0000A7090000}"/>
    <cellStyle name="20% - Accent3 2 4 2 4 2 2" xfId="2481" xr:uid="{00000000-0005-0000-0000-0000A8090000}"/>
    <cellStyle name="20% - Accent3 2 4 2 4 3" xfId="2482" xr:uid="{00000000-0005-0000-0000-0000A9090000}"/>
    <cellStyle name="20% - Accent3 2 4 2 5" xfId="2483" xr:uid="{00000000-0005-0000-0000-0000AA090000}"/>
    <cellStyle name="20% - Accent3 2 4 2 5 2" xfId="2484" xr:uid="{00000000-0005-0000-0000-0000AB090000}"/>
    <cellStyle name="20% - Accent3 2 4 2 6" xfId="2485" xr:uid="{00000000-0005-0000-0000-0000AC090000}"/>
    <cellStyle name="20% - Accent3 2 4 3" xfId="2486" xr:uid="{00000000-0005-0000-0000-0000AD090000}"/>
    <cellStyle name="20% - Accent3 2 4 3 2" xfId="2487" xr:uid="{00000000-0005-0000-0000-0000AE090000}"/>
    <cellStyle name="20% - Accent3 2 4 3 2 2" xfId="2488" xr:uid="{00000000-0005-0000-0000-0000AF090000}"/>
    <cellStyle name="20% - Accent3 2 4 3 2 2 2" xfId="2489" xr:uid="{00000000-0005-0000-0000-0000B0090000}"/>
    <cellStyle name="20% - Accent3 2 4 3 2 2 2 2" xfId="2490" xr:uid="{00000000-0005-0000-0000-0000B1090000}"/>
    <cellStyle name="20% - Accent3 2 4 3 2 2 3" xfId="2491" xr:uid="{00000000-0005-0000-0000-0000B2090000}"/>
    <cellStyle name="20% - Accent3 2 4 3 2 3" xfId="2492" xr:uid="{00000000-0005-0000-0000-0000B3090000}"/>
    <cellStyle name="20% - Accent3 2 4 3 2 3 2" xfId="2493" xr:uid="{00000000-0005-0000-0000-0000B4090000}"/>
    <cellStyle name="20% - Accent3 2 4 3 2 4" xfId="2494" xr:uid="{00000000-0005-0000-0000-0000B5090000}"/>
    <cellStyle name="20% - Accent3 2 4 3 3" xfId="2495" xr:uid="{00000000-0005-0000-0000-0000B6090000}"/>
    <cellStyle name="20% - Accent3 2 4 3 3 2" xfId="2496" xr:uid="{00000000-0005-0000-0000-0000B7090000}"/>
    <cellStyle name="20% - Accent3 2 4 3 3 2 2" xfId="2497" xr:uid="{00000000-0005-0000-0000-0000B8090000}"/>
    <cellStyle name="20% - Accent3 2 4 3 3 3" xfId="2498" xr:uid="{00000000-0005-0000-0000-0000B9090000}"/>
    <cellStyle name="20% - Accent3 2 4 3 4" xfId="2499" xr:uid="{00000000-0005-0000-0000-0000BA090000}"/>
    <cellStyle name="20% - Accent3 2 4 3 4 2" xfId="2500" xr:uid="{00000000-0005-0000-0000-0000BB090000}"/>
    <cellStyle name="20% - Accent3 2 4 3 5" xfId="2501" xr:uid="{00000000-0005-0000-0000-0000BC090000}"/>
    <cellStyle name="20% - Accent3 2 4 4" xfId="2502" xr:uid="{00000000-0005-0000-0000-0000BD090000}"/>
    <cellStyle name="20% - Accent3 2 4 4 2" xfId="2503" xr:uid="{00000000-0005-0000-0000-0000BE090000}"/>
    <cellStyle name="20% - Accent3 2 4 4 2 2" xfId="2504" xr:uid="{00000000-0005-0000-0000-0000BF090000}"/>
    <cellStyle name="20% - Accent3 2 4 4 2 2 2" xfId="2505" xr:uid="{00000000-0005-0000-0000-0000C0090000}"/>
    <cellStyle name="20% - Accent3 2 4 4 2 3" xfId="2506" xr:uid="{00000000-0005-0000-0000-0000C1090000}"/>
    <cellStyle name="20% - Accent3 2 4 4 3" xfId="2507" xr:uid="{00000000-0005-0000-0000-0000C2090000}"/>
    <cellStyle name="20% - Accent3 2 4 4 3 2" xfId="2508" xr:uid="{00000000-0005-0000-0000-0000C3090000}"/>
    <cellStyle name="20% - Accent3 2 4 4 4" xfId="2509" xr:uid="{00000000-0005-0000-0000-0000C4090000}"/>
    <cellStyle name="20% - Accent3 2 4 5" xfId="2510" xr:uid="{00000000-0005-0000-0000-0000C5090000}"/>
    <cellStyle name="20% - Accent3 2 4 5 2" xfId="2511" xr:uid="{00000000-0005-0000-0000-0000C6090000}"/>
    <cellStyle name="20% - Accent3 2 4 5 2 2" xfId="2512" xr:uid="{00000000-0005-0000-0000-0000C7090000}"/>
    <cellStyle name="20% - Accent3 2 4 5 3" xfId="2513" xr:uid="{00000000-0005-0000-0000-0000C8090000}"/>
    <cellStyle name="20% - Accent3 2 4 6" xfId="2514" xr:uid="{00000000-0005-0000-0000-0000C9090000}"/>
    <cellStyle name="20% - Accent3 2 4 6 2" xfId="2515" xr:uid="{00000000-0005-0000-0000-0000CA090000}"/>
    <cellStyle name="20% - Accent3 2 4 7" xfId="2516" xr:uid="{00000000-0005-0000-0000-0000CB090000}"/>
    <cellStyle name="20% - Accent3 2 5" xfId="2517" xr:uid="{00000000-0005-0000-0000-0000CC090000}"/>
    <cellStyle name="20% - Accent3 2 5 2" xfId="2518" xr:uid="{00000000-0005-0000-0000-0000CD090000}"/>
    <cellStyle name="20% - Accent3 2 5 2 2" xfId="2519" xr:uid="{00000000-0005-0000-0000-0000CE090000}"/>
    <cellStyle name="20% - Accent3 2 5 2 2 2" xfId="2520" xr:uid="{00000000-0005-0000-0000-0000CF090000}"/>
    <cellStyle name="20% - Accent3 2 5 2 2 2 2" xfId="2521" xr:uid="{00000000-0005-0000-0000-0000D0090000}"/>
    <cellStyle name="20% - Accent3 2 5 2 2 2 2 2" xfId="2522" xr:uid="{00000000-0005-0000-0000-0000D1090000}"/>
    <cellStyle name="20% - Accent3 2 5 2 2 2 3" xfId="2523" xr:uid="{00000000-0005-0000-0000-0000D2090000}"/>
    <cellStyle name="20% - Accent3 2 5 2 2 3" xfId="2524" xr:uid="{00000000-0005-0000-0000-0000D3090000}"/>
    <cellStyle name="20% - Accent3 2 5 2 2 3 2" xfId="2525" xr:uid="{00000000-0005-0000-0000-0000D4090000}"/>
    <cellStyle name="20% - Accent3 2 5 2 2 4" xfId="2526" xr:uid="{00000000-0005-0000-0000-0000D5090000}"/>
    <cellStyle name="20% - Accent3 2 5 2 3" xfId="2527" xr:uid="{00000000-0005-0000-0000-0000D6090000}"/>
    <cellStyle name="20% - Accent3 2 5 2 3 2" xfId="2528" xr:uid="{00000000-0005-0000-0000-0000D7090000}"/>
    <cellStyle name="20% - Accent3 2 5 2 3 2 2" xfId="2529" xr:uid="{00000000-0005-0000-0000-0000D8090000}"/>
    <cellStyle name="20% - Accent3 2 5 2 3 3" xfId="2530" xr:uid="{00000000-0005-0000-0000-0000D9090000}"/>
    <cellStyle name="20% - Accent3 2 5 2 4" xfId="2531" xr:uid="{00000000-0005-0000-0000-0000DA090000}"/>
    <cellStyle name="20% - Accent3 2 5 2 4 2" xfId="2532" xr:uid="{00000000-0005-0000-0000-0000DB090000}"/>
    <cellStyle name="20% - Accent3 2 5 2 5" xfId="2533" xr:uid="{00000000-0005-0000-0000-0000DC090000}"/>
    <cellStyle name="20% - Accent3 2 5 3" xfId="2534" xr:uid="{00000000-0005-0000-0000-0000DD090000}"/>
    <cellStyle name="20% - Accent3 2 5 3 2" xfId="2535" xr:uid="{00000000-0005-0000-0000-0000DE090000}"/>
    <cellStyle name="20% - Accent3 2 5 3 2 2" xfId="2536" xr:uid="{00000000-0005-0000-0000-0000DF090000}"/>
    <cellStyle name="20% - Accent3 2 5 3 2 2 2" xfId="2537" xr:uid="{00000000-0005-0000-0000-0000E0090000}"/>
    <cellStyle name="20% - Accent3 2 5 3 2 3" xfId="2538" xr:uid="{00000000-0005-0000-0000-0000E1090000}"/>
    <cellStyle name="20% - Accent3 2 5 3 3" xfId="2539" xr:uid="{00000000-0005-0000-0000-0000E2090000}"/>
    <cellStyle name="20% - Accent3 2 5 3 3 2" xfId="2540" xr:uid="{00000000-0005-0000-0000-0000E3090000}"/>
    <cellStyle name="20% - Accent3 2 5 3 4" xfId="2541" xr:uid="{00000000-0005-0000-0000-0000E4090000}"/>
    <cellStyle name="20% - Accent3 2 5 4" xfId="2542" xr:uid="{00000000-0005-0000-0000-0000E5090000}"/>
    <cellStyle name="20% - Accent3 2 5 4 2" xfId="2543" xr:uid="{00000000-0005-0000-0000-0000E6090000}"/>
    <cellStyle name="20% - Accent3 2 5 4 2 2" xfId="2544" xr:uid="{00000000-0005-0000-0000-0000E7090000}"/>
    <cellStyle name="20% - Accent3 2 5 4 3" xfId="2545" xr:uid="{00000000-0005-0000-0000-0000E8090000}"/>
    <cellStyle name="20% - Accent3 2 5 5" xfId="2546" xr:uid="{00000000-0005-0000-0000-0000E9090000}"/>
    <cellStyle name="20% - Accent3 2 5 5 2" xfId="2547" xr:uid="{00000000-0005-0000-0000-0000EA090000}"/>
    <cellStyle name="20% - Accent3 2 5 6" xfId="2548" xr:uid="{00000000-0005-0000-0000-0000EB090000}"/>
    <cellStyle name="20% - Accent3 2 6" xfId="2549" xr:uid="{00000000-0005-0000-0000-0000EC090000}"/>
    <cellStyle name="20% - Accent3 2 6 2" xfId="2550" xr:uid="{00000000-0005-0000-0000-0000ED090000}"/>
    <cellStyle name="20% - Accent3 2 6 2 2" xfId="2551" xr:uid="{00000000-0005-0000-0000-0000EE090000}"/>
    <cellStyle name="20% - Accent3 2 6 2 2 2" xfId="2552" xr:uid="{00000000-0005-0000-0000-0000EF090000}"/>
    <cellStyle name="20% - Accent3 2 6 2 2 2 2" xfId="2553" xr:uid="{00000000-0005-0000-0000-0000F0090000}"/>
    <cellStyle name="20% - Accent3 2 6 2 2 3" xfId="2554" xr:uid="{00000000-0005-0000-0000-0000F1090000}"/>
    <cellStyle name="20% - Accent3 2 6 2 3" xfId="2555" xr:uid="{00000000-0005-0000-0000-0000F2090000}"/>
    <cellStyle name="20% - Accent3 2 6 2 3 2" xfId="2556" xr:uid="{00000000-0005-0000-0000-0000F3090000}"/>
    <cellStyle name="20% - Accent3 2 6 2 4" xfId="2557" xr:uid="{00000000-0005-0000-0000-0000F4090000}"/>
    <cellStyle name="20% - Accent3 2 6 3" xfId="2558" xr:uid="{00000000-0005-0000-0000-0000F5090000}"/>
    <cellStyle name="20% - Accent3 2 6 3 2" xfId="2559" xr:uid="{00000000-0005-0000-0000-0000F6090000}"/>
    <cellStyle name="20% - Accent3 2 6 3 2 2" xfId="2560" xr:uid="{00000000-0005-0000-0000-0000F7090000}"/>
    <cellStyle name="20% - Accent3 2 6 3 3" xfId="2561" xr:uid="{00000000-0005-0000-0000-0000F8090000}"/>
    <cellStyle name="20% - Accent3 2 6 4" xfId="2562" xr:uid="{00000000-0005-0000-0000-0000F9090000}"/>
    <cellStyle name="20% - Accent3 2 6 4 2" xfId="2563" xr:uid="{00000000-0005-0000-0000-0000FA090000}"/>
    <cellStyle name="20% - Accent3 2 6 5" xfId="2564" xr:uid="{00000000-0005-0000-0000-0000FB090000}"/>
    <cellStyle name="20% - Accent3 2 7" xfId="2565" xr:uid="{00000000-0005-0000-0000-0000FC090000}"/>
    <cellStyle name="20% - Accent3 2 7 2" xfId="2566" xr:uid="{00000000-0005-0000-0000-0000FD090000}"/>
    <cellStyle name="20% - Accent3 2 7 2 2" xfId="2567" xr:uid="{00000000-0005-0000-0000-0000FE090000}"/>
    <cellStyle name="20% - Accent3 2 7 2 2 2" xfId="2568" xr:uid="{00000000-0005-0000-0000-0000FF090000}"/>
    <cellStyle name="20% - Accent3 2 7 2 3" xfId="2569" xr:uid="{00000000-0005-0000-0000-0000000A0000}"/>
    <cellStyle name="20% - Accent3 2 7 3" xfId="2570" xr:uid="{00000000-0005-0000-0000-0000010A0000}"/>
    <cellStyle name="20% - Accent3 2 7 3 2" xfId="2571" xr:uid="{00000000-0005-0000-0000-0000020A0000}"/>
    <cellStyle name="20% - Accent3 2 7 4" xfId="2572" xr:uid="{00000000-0005-0000-0000-0000030A0000}"/>
    <cellStyle name="20% - Accent3 2 8" xfId="2573" xr:uid="{00000000-0005-0000-0000-0000040A0000}"/>
    <cellStyle name="20% - Accent3 2 8 2" xfId="2574" xr:uid="{00000000-0005-0000-0000-0000050A0000}"/>
    <cellStyle name="20% - Accent3 2 8 2 2" xfId="2575" xr:uid="{00000000-0005-0000-0000-0000060A0000}"/>
    <cellStyle name="20% - Accent3 2 8 3" xfId="2576" xr:uid="{00000000-0005-0000-0000-0000070A0000}"/>
    <cellStyle name="20% - Accent3 2 9" xfId="2577" xr:uid="{00000000-0005-0000-0000-0000080A0000}"/>
    <cellStyle name="20% - Accent3 2 9 2" xfId="2578" xr:uid="{00000000-0005-0000-0000-0000090A0000}"/>
    <cellStyle name="20% - Accent3 3" xfId="2579" xr:uid="{00000000-0005-0000-0000-00000A0A0000}"/>
    <cellStyle name="20% - Accent3 3 2" xfId="2580" xr:uid="{00000000-0005-0000-0000-00000B0A0000}"/>
    <cellStyle name="20% - Accent3 3 2 2" xfId="2581" xr:uid="{00000000-0005-0000-0000-00000C0A0000}"/>
    <cellStyle name="20% - Accent3 3 2 2 2" xfId="2582" xr:uid="{00000000-0005-0000-0000-00000D0A0000}"/>
    <cellStyle name="20% - Accent3 3 2 2 2 2" xfId="2583" xr:uid="{00000000-0005-0000-0000-00000E0A0000}"/>
    <cellStyle name="20% - Accent3 3 2 2 2 2 2" xfId="2584" xr:uid="{00000000-0005-0000-0000-00000F0A0000}"/>
    <cellStyle name="20% - Accent3 3 2 2 2 2 2 2" xfId="2585" xr:uid="{00000000-0005-0000-0000-0000100A0000}"/>
    <cellStyle name="20% - Accent3 3 2 2 2 2 2 2 2" xfId="2586" xr:uid="{00000000-0005-0000-0000-0000110A0000}"/>
    <cellStyle name="20% - Accent3 3 2 2 2 2 2 2 2 2" xfId="2587" xr:uid="{00000000-0005-0000-0000-0000120A0000}"/>
    <cellStyle name="20% - Accent3 3 2 2 2 2 2 2 3" xfId="2588" xr:uid="{00000000-0005-0000-0000-0000130A0000}"/>
    <cellStyle name="20% - Accent3 3 2 2 2 2 2 3" xfId="2589" xr:uid="{00000000-0005-0000-0000-0000140A0000}"/>
    <cellStyle name="20% - Accent3 3 2 2 2 2 2 3 2" xfId="2590" xr:uid="{00000000-0005-0000-0000-0000150A0000}"/>
    <cellStyle name="20% - Accent3 3 2 2 2 2 2 4" xfId="2591" xr:uid="{00000000-0005-0000-0000-0000160A0000}"/>
    <cellStyle name="20% - Accent3 3 2 2 2 2 3" xfId="2592" xr:uid="{00000000-0005-0000-0000-0000170A0000}"/>
    <cellStyle name="20% - Accent3 3 2 2 2 2 3 2" xfId="2593" xr:uid="{00000000-0005-0000-0000-0000180A0000}"/>
    <cellStyle name="20% - Accent3 3 2 2 2 2 3 2 2" xfId="2594" xr:uid="{00000000-0005-0000-0000-0000190A0000}"/>
    <cellStyle name="20% - Accent3 3 2 2 2 2 3 3" xfId="2595" xr:uid="{00000000-0005-0000-0000-00001A0A0000}"/>
    <cellStyle name="20% - Accent3 3 2 2 2 2 4" xfId="2596" xr:uid="{00000000-0005-0000-0000-00001B0A0000}"/>
    <cellStyle name="20% - Accent3 3 2 2 2 2 4 2" xfId="2597" xr:uid="{00000000-0005-0000-0000-00001C0A0000}"/>
    <cellStyle name="20% - Accent3 3 2 2 2 2 5" xfId="2598" xr:uid="{00000000-0005-0000-0000-00001D0A0000}"/>
    <cellStyle name="20% - Accent3 3 2 2 2 3" xfId="2599" xr:uid="{00000000-0005-0000-0000-00001E0A0000}"/>
    <cellStyle name="20% - Accent3 3 2 2 2 3 2" xfId="2600" xr:uid="{00000000-0005-0000-0000-00001F0A0000}"/>
    <cellStyle name="20% - Accent3 3 2 2 2 3 2 2" xfId="2601" xr:uid="{00000000-0005-0000-0000-0000200A0000}"/>
    <cellStyle name="20% - Accent3 3 2 2 2 3 2 2 2" xfId="2602" xr:uid="{00000000-0005-0000-0000-0000210A0000}"/>
    <cellStyle name="20% - Accent3 3 2 2 2 3 2 3" xfId="2603" xr:uid="{00000000-0005-0000-0000-0000220A0000}"/>
    <cellStyle name="20% - Accent3 3 2 2 2 3 3" xfId="2604" xr:uid="{00000000-0005-0000-0000-0000230A0000}"/>
    <cellStyle name="20% - Accent3 3 2 2 2 3 3 2" xfId="2605" xr:uid="{00000000-0005-0000-0000-0000240A0000}"/>
    <cellStyle name="20% - Accent3 3 2 2 2 3 4" xfId="2606" xr:uid="{00000000-0005-0000-0000-0000250A0000}"/>
    <cellStyle name="20% - Accent3 3 2 2 2 4" xfId="2607" xr:uid="{00000000-0005-0000-0000-0000260A0000}"/>
    <cellStyle name="20% - Accent3 3 2 2 2 4 2" xfId="2608" xr:uid="{00000000-0005-0000-0000-0000270A0000}"/>
    <cellStyle name="20% - Accent3 3 2 2 2 4 2 2" xfId="2609" xr:uid="{00000000-0005-0000-0000-0000280A0000}"/>
    <cellStyle name="20% - Accent3 3 2 2 2 4 3" xfId="2610" xr:uid="{00000000-0005-0000-0000-0000290A0000}"/>
    <cellStyle name="20% - Accent3 3 2 2 2 5" xfId="2611" xr:uid="{00000000-0005-0000-0000-00002A0A0000}"/>
    <cellStyle name="20% - Accent3 3 2 2 2 5 2" xfId="2612" xr:uid="{00000000-0005-0000-0000-00002B0A0000}"/>
    <cellStyle name="20% - Accent3 3 2 2 2 6" xfId="2613" xr:uid="{00000000-0005-0000-0000-00002C0A0000}"/>
    <cellStyle name="20% - Accent3 3 2 2 3" xfId="2614" xr:uid="{00000000-0005-0000-0000-00002D0A0000}"/>
    <cellStyle name="20% - Accent3 3 2 2 3 2" xfId="2615" xr:uid="{00000000-0005-0000-0000-00002E0A0000}"/>
    <cellStyle name="20% - Accent3 3 2 2 3 2 2" xfId="2616" xr:uid="{00000000-0005-0000-0000-00002F0A0000}"/>
    <cellStyle name="20% - Accent3 3 2 2 3 2 2 2" xfId="2617" xr:uid="{00000000-0005-0000-0000-0000300A0000}"/>
    <cellStyle name="20% - Accent3 3 2 2 3 2 2 2 2" xfId="2618" xr:uid="{00000000-0005-0000-0000-0000310A0000}"/>
    <cellStyle name="20% - Accent3 3 2 2 3 2 2 3" xfId="2619" xr:uid="{00000000-0005-0000-0000-0000320A0000}"/>
    <cellStyle name="20% - Accent3 3 2 2 3 2 3" xfId="2620" xr:uid="{00000000-0005-0000-0000-0000330A0000}"/>
    <cellStyle name="20% - Accent3 3 2 2 3 2 3 2" xfId="2621" xr:uid="{00000000-0005-0000-0000-0000340A0000}"/>
    <cellStyle name="20% - Accent3 3 2 2 3 2 4" xfId="2622" xr:uid="{00000000-0005-0000-0000-0000350A0000}"/>
    <cellStyle name="20% - Accent3 3 2 2 3 3" xfId="2623" xr:uid="{00000000-0005-0000-0000-0000360A0000}"/>
    <cellStyle name="20% - Accent3 3 2 2 3 3 2" xfId="2624" xr:uid="{00000000-0005-0000-0000-0000370A0000}"/>
    <cellStyle name="20% - Accent3 3 2 2 3 3 2 2" xfId="2625" xr:uid="{00000000-0005-0000-0000-0000380A0000}"/>
    <cellStyle name="20% - Accent3 3 2 2 3 3 3" xfId="2626" xr:uid="{00000000-0005-0000-0000-0000390A0000}"/>
    <cellStyle name="20% - Accent3 3 2 2 3 4" xfId="2627" xr:uid="{00000000-0005-0000-0000-00003A0A0000}"/>
    <cellStyle name="20% - Accent3 3 2 2 3 4 2" xfId="2628" xr:uid="{00000000-0005-0000-0000-00003B0A0000}"/>
    <cellStyle name="20% - Accent3 3 2 2 3 5" xfId="2629" xr:uid="{00000000-0005-0000-0000-00003C0A0000}"/>
    <cellStyle name="20% - Accent3 3 2 2 4" xfId="2630" xr:uid="{00000000-0005-0000-0000-00003D0A0000}"/>
    <cellStyle name="20% - Accent3 3 2 2 4 2" xfId="2631" xr:uid="{00000000-0005-0000-0000-00003E0A0000}"/>
    <cellStyle name="20% - Accent3 3 2 2 4 2 2" xfId="2632" xr:uid="{00000000-0005-0000-0000-00003F0A0000}"/>
    <cellStyle name="20% - Accent3 3 2 2 4 2 2 2" xfId="2633" xr:uid="{00000000-0005-0000-0000-0000400A0000}"/>
    <cellStyle name="20% - Accent3 3 2 2 4 2 3" xfId="2634" xr:uid="{00000000-0005-0000-0000-0000410A0000}"/>
    <cellStyle name="20% - Accent3 3 2 2 4 3" xfId="2635" xr:uid="{00000000-0005-0000-0000-0000420A0000}"/>
    <cellStyle name="20% - Accent3 3 2 2 4 3 2" xfId="2636" xr:uid="{00000000-0005-0000-0000-0000430A0000}"/>
    <cellStyle name="20% - Accent3 3 2 2 4 4" xfId="2637" xr:uid="{00000000-0005-0000-0000-0000440A0000}"/>
    <cellStyle name="20% - Accent3 3 2 2 5" xfId="2638" xr:uid="{00000000-0005-0000-0000-0000450A0000}"/>
    <cellStyle name="20% - Accent3 3 2 2 5 2" xfId="2639" xr:uid="{00000000-0005-0000-0000-0000460A0000}"/>
    <cellStyle name="20% - Accent3 3 2 2 5 2 2" xfId="2640" xr:uid="{00000000-0005-0000-0000-0000470A0000}"/>
    <cellStyle name="20% - Accent3 3 2 2 5 3" xfId="2641" xr:uid="{00000000-0005-0000-0000-0000480A0000}"/>
    <cellStyle name="20% - Accent3 3 2 2 6" xfId="2642" xr:uid="{00000000-0005-0000-0000-0000490A0000}"/>
    <cellStyle name="20% - Accent3 3 2 2 6 2" xfId="2643" xr:uid="{00000000-0005-0000-0000-00004A0A0000}"/>
    <cellStyle name="20% - Accent3 3 2 2 7" xfId="2644" xr:uid="{00000000-0005-0000-0000-00004B0A0000}"/>
    <cellStyle name="20% - Accent3 3 2 3" xfId="2645" xr:uid="{00000000-0005-0000-0000-00004C0A0000}"/>
    <cellStyle name="20% - Accent3 3 2 3 2" xfId="2646" xr:uid="{00000000-0005-0000-0000-00004D0A0000}"/>
    <cellStyle name="20% - Accent3 3 2 3 2 2" xfId="2647" xr:uid="{00000000-0005-0000-0000-00004E0A0000}"/>
    <cellStyle name="20% - Accent3 3 2 3 2 2 2" xfId="2648" xr:uid="{00000000-0005-0000-0000-00004F0A0000}"/>
    <cellStyle name="20% - Accent3 3 2 3 2 2 2 2" xfId="2649" xr:uid="{00000000-0005-0000-0000-0000500A0000}"/>
    <cellStyle name="20% - Accent3 3 2 3 2 2 2 2 2" xfId="2650" xr:uid="{00000000-0005-0000-0000-0000510A0000}"/>
    <cellStyle name="20% - Accent3 3 2 3 2 2 2 3" xfId="2651" xr:uid="{00000000-0005-0000-0000-0000520A0000}"/>
    <cellStyle name="20% - Accent3 3 2 3 2 2 3" xfId="2652" xr:uid="{00000000-0005-0000-0000-0000530A0000}"/>
    <cellStyle name="20% - Accent3 3 2 3 2 2 3 2" xfId="2653" xr:uid="{00000000-0005-0000-0000-0000540A0000}"/>
    <cellStyle name="20% - Accent3 3 2 3 2 2 4" xfId="2654" xr:uid="{00000000-0005-0000-0000-0000550A0000}"/>
    <cellStyle name="20% - Accent3 3 2 3 2 3" xfId="2655" xr:uid="{00000000-0005-0000-0000-0000560A0000}"/>
    <cellStyle name="20% - Accent3 3 2 3 2 3 2" xfId="2656" xr:uid="{00000000-0005-0000-0000-0000570A0000}"/>
    <cellStyle name="20% - Accent3 3 2 3 2 3 2 2" xfId="2657" xr:uid="{00000000-0005-0000-0000-0000580A0000}"/>
    <cellStyle name="20% - Accent3 3 2 3 2 3 3" xfId="2658" xr:uid="{00000000-0005-0000-0000-0000590A0000}"/>
    <cellStyle name="20% - Accent3 3 2 3 2 4" xfId="2659" xr:uid="{00000000-0005-0000-0000-00005A0A0000}"/>
    <cellStyle name="20% - Accent3 3 2 3 2 4 2" xfId="2660" xr:uid="{00000000-0005-0000-0000-00005B0A0000}"/>
    <cellStyle name="20% - Accent3 3 2 3 2 5" xfId="2661" xr:uid="{00000000-0005-0000-0000-00005C0A0000}"/>
    <cellStyle name="20% - Accent3 3 2 3 3" xfId="2662" xr:uid="{00000000-0005-0000-0000-00005D0A0000}"/>
    <cellStyle name="20% - Accent3 3 2 3 3 2" xfId="2663" xr:uid="{00000000-0005-0000-0000-00005E0A0000}"/>
    <cellStyle name="20% - Accent3 3 2 3 3 2 2" xfId="2664" xr:uid="{00000000-0005-0000-0000-00005F0A0000}"/>
    <cellStyle name="20% - Accent3 3 2 3 3 2 2 2" xfId="2665" xr:uid="{00000000-0005-0000-0000-0000600A0000}"/>
    <cellStyle name="20% - Accent3 3 2 3 3 2 3" xfId="2666" xr:uid="{00000000-0005-0000-0000-0000610A0000}"/>
    <cellStyle name="20% - Accent3 3 2 3 3 3" xfId="2667" xr:uid="{00000000-0005-0000-0000-0000620A0000}"/>
    <cellStyle name="20% - Accent3 3 2 3 3 3 2" xfId="2668" xr:uid="{00000000-0005-0000-0000-0000630A0000}"/>
    <cellStyle name="20% - Accent3 3 2 3 3 4" xfId="2669" xr:uid="{00000000-0005-0000-0000-0000640A0000}"/>
    <cellStyle name="20% - Accent3 3 2 3 4" xfId="2670" xr:uid="{00000000-0005-0000-0000-0000650A0000}"/>
    <cellStyle name="20% - Accent3 3 2 3 4 2" xfId="2671" xr:uid="{00000000-0005-0000-0000-0000660A0000}"/>
    <cellStyle name="20% - Accent3 3 2 3 4 2 2" xfId="2672" xr:uid="{00000000-0005-0000-0000-0000670A0000}"/>
    <cellStyle name="20% - Accent3 3 2 3 4 3" xfId="2673" xr:uid="{00000000-0005-0000-0000-0000680A0000}"/>
    <cellStyle name="20% - Accent3 3 2 3 5" xfId="2674" xr:uid="{00000000-0005-0000-0000-0000690A0000}"/>
    <cellStyle name="20% - Accent3 3 2 3 5 2" xfId="2675" xr:uid="{00000000-0005-0000-0000-00006A0A0000}"/>
    <cellStyle name="20% - Accent3 3 2 3 6" xfId="2676" xr:uid="{00000000-0005-0000-0000-00006B0A0000}"/>
    <cellStyle name="20% - Accent3 3 2 4" xfId="2677" xr:uid="{00000000-0005-0000-0000-00006C0A0000}"/>
    <cellStyle name="20% - Accent3 3 2 4 2" xfId="2678" xr:uid="{00000000-0005-0000-0000-00006D0A0000}"/>
    <cellStyle name="20% - Accent3 3 2 4 2 2" xfId="2679" xr:uid="{00000000-0005-0000-0000-00006E0A0000}"/>
    <cellStyle name="20% - Accent3 3 2 4 2 2 2" xfId="2680" xr:uid="{00000000-0005-0000-0000-00006F0A0000}"/>
    <cellStyle name="20% - Accent3 3 2 4 2 2 2 2" xfId="2681" xr:uid="{00000000-0005-0000-0000-0000700A0000}"/>
    <cellStyle name="20% - Accent3 3 2 4 2 2 3" xfId="2682" xr:uid="{00000000-0005-0000-0000-0000710A0000}"/>
    <cellStyle name="20% - Accent3 3 2 4 2 3" xfId="2683" xr:uid="{00000000-0005-0000-0000-0000720A0000}"/>
    <cellStyle name="20% - Accent3 3 2 4 2 3 2" xfId="2684" xr:uid="{00000000-0005-0000-0000-0000730A0000}"/>
    <cellStyle name="20% - Accent3 3 2 4 2 4" xfId="2685" xr:uid="{00000000-0005-0000-0000-0000740A0000}"/>
    <cellStyle name="20% - Accent3 3 2 4 3" xfId="2686" xr:uid="{00000000-0005-0000-0000-0000750A0000}"/>
    <cellStyle name="20% - Accent3 3 2 4 3 2" xfId="2687" xr:uid="{00000000-0005-0000-0000-0000760A0000}"/>
    <cellStyle name="20% - Accent3 3 2 4 3 2 2" xfId="2688" xr:uid="{00000000-0005-0000-0000-0000770A0000}"/>
    <cellStyle name="20% - Accent3 3 2 4 3 3" xfId="2689" xr:uid="{00000000-0005-0000-0000-0000780A0000}"/>
    <cellStyle name="20% - Accent3 3 2 4 4" xfId="2690" xr:uid="{00000000-0005-0000-0000-0000790A0000}"/>
    <cellStyle name="20% - Accent3 3 2 4 4 2" xfId="2691" xr:uid="{00000000-0005-0000-0000-00007A0A0000}"/>
    <cellStyle name="20% - Accent3 3 2 4 5" xfId="2692" xr:uid="{00000000-0005-0000-0000-00007B0A0000}"/>
    <cellStyle name="20% - Accent3 3 2 5" xfId="2693" xr:uid="{00000000-0005-0000-0000-00007C0A0000}"/>
    <cellStyle name="20% - Accent3 3 2 5 2" xfId="2694" xr:uid="{00000000-0005-0000-0000-00007D0A0000}"/>
    <cellStyle name="20% - Accent3 3 2 5 2 2" xfId="2695" xr:uid="{00000000-0005-0000-0000-00007E0A0000}"/>
    <cellStyle name="20% - Accent3 3 2 5 2 2 2" xfId="2696" xr:uid="{00000000-0005-0000-0000-00007F0A0000}"/>
    <cellStyle name="20% - Accent3 3 2 5 2 3" xfId="2697" xr:uid="{00000000-0005-0000-0000-0000800A0000}"/>
    <cellStyle name="20% - Accent3 3 2 5 3" xfId="2698" xr:uid="{00000000-0005-0000-0000-0000810A0000}"/>
    <cellStyle name="20% - Accent3 3 2 5 3 2" xfId="2699" xr:uid="{00000000-0005-0000-0000-0000820A0000}"/>
    <cellStyle name="20% - Accent3 3 2 5 4" xfId="2700" xr:uid="{00000000-0005-0000-0000-0000830A0000}"/>
    <cellStyle name="20% - Accent3 3 2 6" xfId="2701" xr:uid="{00000000-0005-0000-0000-0000840A0000}"/>
    <cellStyle name="20% - Accent3 3 2 6 2" xfId="2702" xr:uid="{00000000-0005-0000-0000-0000850A0000}"/>
    <cellStyle name="20% - Accent3 3 2 6 2 2" xfId="2703" xr:uid="{00000000-0005-0000-0000-0000860A0000}"/>
    <cellStyle name="20% - Accent3 3 2 6 3" xfId="2704" xr:uid="{00000000-0005-0000-0000-0000870A0000}"/>
    <cellStyle name="20% - Accent3 3 2 7" xfId="2705" xr:uid="{00000000-0005-0000-0000-0000880A0000}"/>
    <cellStyle name="20% - Accent3 3 2 7 2" xfId="2706" xr:uid="{00000000-0005-0000-0000-0000890A0000}"/>
    <cellStyle name="20% - Accent3 3 2 8" xfId="2707" xr:uid="{00000000-0005-0000-0000-00008A0A0000}"/>
    <cellStyle name="20% - Accent3 3 3" xfId="2708" xr:uid="{00000000-0005-0000-0000-00008B0A0000}"/>
    <cellStyle name="20% - Accent3 3 3 2" xfId="2709" xr:uid="{00000000-0005-0000-0000-00008C0A0000}"/>
    <cellStyle name="20% - Accent3 3 3 2 2" xfId="2710" xr:uid="{00000000-0005-0000-0000-00008D0A0000}"/>
    <cellStyle name="20% - Accent3 3 3 2 2 2" xfId="2711" xr:uid="{00000000-0005-0000-0000-00008E0A0000}"/>
    <cellStyle name="20% - Accent3 3 3 2 2 2 2" xfId="2712" xr:uid="{00000000-0005-0000-0000-00008F0A0000}"/>
    <cellStyle name="20% - Accent3 3 3 2 2 2 2 2" xfId="2713" xr:uid="{00000000-0005-0000-0000-0000900A0000}"/>
    <cellStyle name="20% - Accent3 3 3 2 2 2 2 2 2" xfId="2714" xr:uid="{00000000-0005-0000-0000-0000910A0000}"/>
    <cellStyle name="20% - Accent3 3 3 2 2 2 2 3" xfId="2715" xr:uid="{00000000-0005-0000-0000-0000920A0000}"/>
    <cellStyle name="20% - Accent3 3 3 2 2 2 3" xfId="2716" xr:uid="{00000000-0005-0000-0000-0000930A0000}"/>
    <cellStyle name="20% - Accent3 3 3 2 2 2 3 2" xfId="2717" xr:uid="{00000000-0005-0000-0000-0000940A0000}"/>
    <cellStyle name="20% - Accent3 3 3 2 2 2 4" xfId="2718" xr:uid="{00000000-0005-0000-0000-0000950A0000}"/>
    <cellStyle name="20% - Accent3 3 3 2 2 3" xfId="2719" xr:uid="{00000000-0005-0000-0000-0000960A0000}"/>
    <cellStyle name="20% - Accent3 3 3 2 2 3 2" xfId="2720" xr:uid="{00000000-0005-0000-0000-0000970A0000}"/>
    <cellStyle name="20% - Accent3 3 3 2 2 3 2 2" xfId="2721" xr:uid="{00000000-0005-0000-0000-0000980A0000}"/>
    <cellStyle name="20% - Accent3 3 3 2 2 3 3" xfId="2722" xr:uid="{00000000-0005-0000-0000-0000990A0000}"/>
    <cellStyle name="20% - Accent3 3 3 2 2 4" xfId="2723" xr:uid="{00000000-0005-0000-0000-00009A0A0000}"/>
    <cellStyle name="20% - Accent3 3 3 2 2 4 2" xfId="2724" xr:uid="{00000000-0005-0000-0000-00009B0A0000}"/>
    <cellStyle name="20% - Accent3 3 3 2 2 5" xfId="2725" xr:uid="{00000000-0005-0000-0000-00009C0A0000}"/>
    <cellStyle name="20% - Accent3 3 3 2 3" xfId="2726" xr:uid="{00000000-0005-0000-0000-00009D0A0000}"/>
    <cellStyle name="20% - Accent3 3 3 2 3 2" xfId="2727" xr:uid="{00000000-0005-0000-0000-00009E0A0000}"/>
    <cellStyle name="20% - Accent3 3 3 2 3 2 2" xfId="2728" xr:uid="{00000000-0005-0000-0000-00009F0A0000}"/>
    <cellStyle name="20% - Accent3 3 3 2 3 2 2 2" xfId="2729" xr:uid="{00000000-0005-0000-0000-0000A00A0000}"/>
    <cellStyle name="20% - Accent3 3 3 2 3 2 3" xfId="2730" xr:uid="{00000000-0005-0000-0000-0000A10A0000}"/>
    <cellStyle name="20% - Accent3 3 3 2 3 3" xfId="2731" xr:uid="{00000000-0005-0000-0000-0000A20A0000}"/>
    <cellStyle name="20% - Accent3 3 3 2 3 3 2" xfId="2732" xr:uid="{00000000-0005-0000-0000-0000A30A0000}"/>
    <cellStyle name="20% - Accent3 3 3 2 3 4" xfId="2733" xr:uid="{00000000-0005-0000-0000-0000A40A0000}"/>
    <cellStyle name="20% - Accent3 3 3 2 4" xfId="2734" xr:uid="{00000000-0005-0000-0000-0000A50A0000}"/>
    <cellStyle name="20% - Accent3 3 3 2 4 2" xfId="2735" xr:uid="{00000000-0005-0000-0000-0000A60A0000}"/>
    <cellStyle name="20% - Accent3 3 3 2 4 2 2" xfId="2736" xr:uid="{00000000-0005-0000-0000-0000A70A0000}"/>
    <cellStyle name="20% - Accent3 3 3 2 4 3" xfId="2737" xr:uid="{00000000-0005-0000-0000-0000A80A0000}"/>
    <cellStyle name="20% - Accent3 3 3 2 5" xfId="2738" xr:uid="{00000000-0005-0000-0000-0000A90A0000}"/>
    <cellStyle name="20% - Accent3 3 3 2 5 2" xfId="2739" xr:uid="{00000000-0005-0000-0000-0000AA0A0000}"/>
    <cellStyle name="20% - Accent3 3 3 2 6" xfId="2740" xr:uid="{00000000-0005-0000-0000-0000AB0A0000}"/>
    <cellStyle name="20% - Accent3 3 3 3" xfId="2741" xr:uid="{00000000-0005-0000-0000-0000AC0A0000}"/>
    <cellStyle name="20% - Accent3 3 3 3 2" xfId="2742" xr:uid="{00000000-0005-0000-0000-0000AD0A0000}"/>
    <cellStyle name="20% - Accent3 3 3 3 2 2" xfId="2743" xr:uid="{00000000-0005-0000-0000-0000AE0A0000}"/>
    <cellStyle name="20% - Accent3 3 3 3 2 2 2" xfId="2744" xr:uid="{00000000-0005-0000-0000-0000AF0A0000}"/>
    <cellStyle name="20% - Accent3 3 3 3 2 2 2 2" xfId="2745" xr:uid="{00000000-0005-0000-0000-0000B00A0000}"/>
    <cellStyle name="20% - Accent3 3 3 3 2 2 3" xfId="2746" xr:uid="{00000000-0005-0000-0000-0000B10A0000}"/>
    <cellStyle name="20% - Accent3 3 3 3 2 3" xfId="2747" xr:uid="{00000000-0005-0000-0000-0000B20A0000}"/>
    <cellStyle name="20% - Accent3 3 3 3 2 3 2" xfId="2748" xr:uid="{00000000-0005-0000-0000-0000B30A0000}"/>
    <cellStyle name="20% - Accent3 3 3 3 2 4" xfId="2749" xr:uid="{00000000-0005-0000-0000-0000B40A0000}"/>
    <cellStyle name="20% - Accent3 3 3 3 3" xfId="2750" xr:uid="{00000000-0005-0000-0000-0000B50A0000}"/>
    <cellStyle name="20% - Accent3 3 3 3 3 2" xfId="2751" xr:uid="{00000000-0005-0000-0000-0000B60A0000}"/>
    <cellStyle name="20% - Accent3 3 3 3 3 2 2" xfId="2752" xr:uid="{00000000-0005-0000-0000-0000B70A0000}"/>
    <cellStyle name="20% - Accent3 3 3 3 3 3" xfId="2753" xr:uid="{00000000-0005-0000-0000-0000B80A0000}"/>
    <cellStyle name="20% - Accent3 3 3 3 4" xfId="2754" xr:uid="{00000000-0005-0000-0000-0000B90A0000}"/>
    <cellStyle name="20% - Accent3 3 3 3 4 2" xfId="2755" xr:uid="{00000000-0005-0000-0000-0000BA0A0000}"/>
    <cellStyle name="20% - Accent3 3 3 3 5" xfId="2756" xr:uid="{00000000-0005-0000-0000-0000BB0A0000}"/>
    <cellStyle name="20% - Accent3 3 3 4" xfId="2757" xr:uid="{00000000-0005-0000-0000-0000BC0A0000}"/>
    <cellStyle name="20% - Accent3 3 3 4 2" xfId="2758" xr:uid="{00000000-0005-0000-0000-0000BD0A0000}"/>
    <cellStyle name="20% - Accent3 3 3 4 2 2" xfId="2759" xr:uid="{00000000-0005-0000-0000-0000BE0A0000}"/>
    <cellStyle name="20% - Accent3 3 3 4 2 2 2" xfId="2760" xr:uid="{00000000-0005-0000-0000-0000BF0A0000}"/>
    <cellStyle name="20% - Accent3 3 3 4 2 3" xfId="2761" xr:uid="{00000000-0005-0000-0000-0000C00A0000}"/>
    <cellStyle name="20% - Accent3 3 3 4 3" xfId="2762" xr:uid="{00000000-0005-0000-0000-0000C10A0000}"/>
    <cellStyle name="20% - Accent3 3 3 4 3 2" xfId="2763" xr:uid="{00000000-0005-0000-0000-0000C20A0000}"/>
    <cellStyle name="20% - Accent3 3 3 4 4" xfId="2764" xr:uid="{00000000-0005-0000-0000-0000C30A0000}"/>
    <cellStyle name="20% - Accent3 3 3 5" xfId="2765" xr:uid="{00000000-0005-0000-0000-0000C40A0000}"/>
    <cellStyle name="20% - Accent3 3 3 5 2" xfId="2766" xr:uid="{00000000-0005-0000-0000-0000C50A0000}"/>
    <cellStyle name="20% - Accent3 3 3 5 2 2" xfId="2767" xr:uid="{00000000-0005-0000-0000-0000C60A0000}"/>
    <cellStyle name="20% - Accent3 3 3 5 3" xfId="2768" xr:uid="{00000000-0005-0000-0000-0000C70A0000}"/>
    <cellStyle name="20% - Accent3 3 3 6" xfId="2769" xr:uid="{00000000-0005-0000-0000-0000C80A0000}"/>
    <cellStyle name="20% - Accent3 3 3 6 2" xfId="2770" xr:uid="{00000000-0005-0000-0000-0000C90A0000}"/>
    <cellStyle name="20% - Accent3 3 3 7" xfId="2771" xr:uid="{00000000-0005-0000-0000-0000CA0A0000}"/>
    <cellStyle name="20% - Accent3 3 4" xfId="2772" xr:uid="{00000000-0005-0000-0000-0000CB0A0000}"/>
    <cellStyle name="20% - Accent3 3 4 2" xfId="2773" xr:uid="{00000000-0005-0000-0000-0000CC0A0000}"/>
    <cellStyle name="20% - Accent3 3 4 2 2" xfId="2774" xr:uid="{00000000-0005-0000-0000-0000CD0A0000}"/>
    <cellStyle name="20% - Accent3 3 4 2 2 2" xfId="2775" xr:uid="{00000000-0005-0000-0000-0000CE0A0000}"/>
    <cellStyle name="20% - Accent3 3 4 2 2 2 2" xfId="2776" xr:uid="{00000000-0005-0000-0000-0000CF0A0000}"/>
    <cellStyle name="20% - Accent3 3 4 2 2 2 2 2" xfId="2777" xr:uid="{00000000-0005-0000-0000-0000D00A0000}"/>
    <cellStyle name="20% - Accent3 3 4 2 2 2 3" xfId="2778" xr:uid="{00000000-0005-0000-0000-0000D10A0000}"/>
    <cellStyle name="20% - Accent3 3 4 2 2 3" xfId="2779" xr:uid="{00000000-0005-0000-0000-0000D20A0000}"/>
    <cellStyle name="20% - Accent3 3 4 2 2 3 2" xfId="2780" xr:uid="{00000000-0005-0000-0000-0000D30A0000}"/>
    <cellStyle name="20% - Accent3 3 4 2 2 4" xfId="2781" xr:uid="{00000000-0005-0000-0000-0000D40A0000}"/>
    <cellStyle name="20% - Accent3 3 4 2 3" xfId="2782" xr:uid="{00000000-0005-0000-0000-0000D50A0000}"/>
    <cellStyle name="20% - Accent3 3 4 2 3 2" xfId="2783" xr:uid="{00000000-0005-0000-0000-0000D60A0000}"/>
    <cellStyle name="20% - Accent3 3 4 2 3 2 2" xfId="2784" xr:uid="{00000000-0005-0000-0000-0000D70A0000}"/>
    <cellStyle name="20% - Accent3 3 4 2 3 3" xfId="2785" xr:uid="{00000000-0005-0000-0000-0000D80A0000}"/>
    <cellStyle name="20% - Accent3 3 4 2 4" xfId="2786" xr:uid="{00000000-0005-0000-0000-0000D90A0000}"/>
    <cellStyle name="20% - Accent3 3 4 2 4 2" xfId="2787" xr:uid="{00000000-0005-0000-0000-0000DA0A0000}"/>
    <cellStyle name="20% - Accent3 3 4 2 5" xfId="2788" xr:uid="{00000000-0005-0000-0000-0000DB0A0000}"/>
    <cellStyle name="20% - Accent3 3 4 3" xfId="2789" xr:uid="{00000000-0005-0000-0000-0000DC0A0000}"/>
    <cellStyle name="20% - Accent3 3 4 3 2" xfId="2790" xr:uid="{00000000-0005-0000-0000-0000DD0A0000}"/>
    <cellStyle name="20% - Accent3 3 4 3 2 2" xfId="2791" xr:uid="{00000000-0005-0000-0000-0000DE0A0000}"/>
    <cellStyle name="20% - Accent3 3 4 3 2 2 2" xfId="2792" xr:uid="{00000000-0005-0000-0000-0000DF0A0000}"/>
    <cellStyle name="20% - Accent3 3 4 3 2 3" xfId="2793" xr:uid="{00000000-0005-0000-0000-0000E00A0000}"/>
    <cellStyle name="20% - Accent3 3 4 3 3" xfId="2794" xr:uid="{00000000-0005-0000-0000-0000E10A0000}"/>
    <cellStyle name="20% - Accent3 3 4 3 3 2" xfId="2795" xr:uid="{00000000-0005-0000-0000-0000E20A0000}"/>
    <cellStyle name="20% - Accent3 3 4 3 4" xfId="2796" xr:uid="{00000000-0005-0000-0000-0000E30A0000}"/>
    <cellStyle name="20% - Accent3 3 4 4" xfId="2797" xr:uid="{00000000-0005-0000-0000-0000E40A0000}"/>
    <cellStyle name="20% - Accent3 3 4 4 2" xfId="2798" xr:uid="{00000000-0005-0000-0000-0000E50A0000}"/>
    <cellStyle name="20% - Accent3 3 4 4 2 2" xfId="2799" xr:uid="{00000000-0005-0000-0000-0000E60A0000}"/>
    <cellStyle name="20% - Accent3 3 4 4 3" xfId="2800" xr:uid="{00000000-0005-0000-0000-0000E70A0000}"/>
    <cellStyle name="20% - Accent3 3 4 5" xfId="2801" xr:uid="{00000000-0005-0000-0000-0000E80A0000}"/>
    <cellStyle name="20% - Accent3 3 4 5 2" xfId="2802" xr:uid="{00000000-0005-0000-0000-0000E90A0000}"/>
    <cellStyle name="20% - Accent3 3 4 6" xfId="2803" xr:uid="{00000000-0005-0000-0000-0000EA0A0000}"/>
    <cellStyle name="20% - Accent3 3 5" xfId="2804" xr:uid="{00000000-0005-0000-0000-0000EB0A0000}"/>
    <cellStyle name="20% - Accent3 3 5 2" xfId="2805" xr:uid="{00000000-0005-0000-0000-0000EC0A0000}"/>
    <cellStyle name="20% - Accent3 3 5 2 2" xfId="2806" xr:uid="{00000000-0005-0000-0000-0000ED0A0000}"/>
    <cellStyle name="20% - Accent3 3 5 2 2 2" xfId="2807" xr:uid="{00000000-0005-0000-0000-0000EE0A0000}"/>
    <cellStyle name="20% - Accent3 3 5 2 2 2 2" xfId="2808" xr:uid="{00000000-0005-0000-0000-0000EF0A0000}"/>
    <cellStyle name="20% - Accent3 3 5 2 2 3" xfId="2809" xr:uid="{00000000-0005-0000-0000-0000F00A0000}"/>
    <cellStyle name="20% - Accent3 3 5 2 3" xfId="2810" xr:uid="{00000000-0005-0000-0000-0000F10A0000}"/>
    <cellStyle name="20% - Accent3 3 5 2 3 2" xfId="2811" xr:uid="{00000000-0005-0000-0000-0000F20A0000}"/>
    <cellStyle name="20% - Accent3 3 5 2 4" xfId="2812" xr:uid="{00000000-0005-0000-0000-0000F30A0000}"/>
    <cellStyle name="20% - Accent3 3 5 3" xfId="2813" xr:uid="{00000000-0005-0000-0000-0000F40A0000}"/>
    <cellStyle name="20% - Accent3 3 5 3 2" xfId="2814" xr:uid="{00000000-0005-0000-0000-0000F50A0000}"/>
    <cellStyle name="20% - Accent3 3 5 3 2 2" xfId="2815" xr:uid="{00000000-0005-0000-0000-0000F60A0000}"/>
    <cellStyle name="20% - Accent3 3 5 3 3" xfId="2816" xr:uid="{00000000-0005-0000-0000-0000F70A0000}"/>
    <cellStyle name="20% - Accent3 3 5 4" xfId="2817" xr:uid="{00000000-0005-0000-0000-0000F80A0000}"/>
    <cellStyle name="20% - Accent3 3 5 4 2" xfId="2818" xr:uid="{00000000-0005-0000-0000-0000F90A0000}"/>
    <cellStyle name="20% - Accent3 3 5 5" xfId="2819" xr:uid="{00000000-0005-0000-0000-0000FA0A0000}"/>
    <cellStyle name="20% - Accent3 3 6" xfId="2820" xr:uid="{00000000-0005-0000-0000-0000FB0A0000}"/>
    <cellStyle name="20% - Accent3 3 6 2" xfId="2821" xr:uid="{00000000-0005-0000-0000-0000FC0A0000}"/>
    <cellStyle name="20% - Accent3 3 6 2 2" xfId="2822" xr:uid="{00000000-0005-0000-0000-0000FD0A0000}"/>
    <cellStyle name="20% - Accent3 3 6 2 2 2" xfId="2823" xr:uid="{00000000-0005-0000-0000-0000FE0A0000}"/>
    <cellStyle name="20% - Accent3 3 6 2 3" xfId="2824" xr:uid="{00000000-0005-0000-0000-0000FF0A0000}"/>
    <cellStyle name="20% - Accent3 3 6 3" xfId="2825" xr:uid="{00000000-0005-0000-0000-0000000B0000}"/>
    <cellStyle name="20% - Accent3 3 6 3 2" xfId="2826" xr:uid="{00000000-0005-0000-0000-0000010B0000}"/>
    <cellStyle name="20% - Accent3 3 6 4" xfId="2827" xr:uid="{00000000-0005-0000-0000-0000020B0000}"/>
    <cellStyle name="20% - Accent3 3 7" xfId="2828" xr:uid="{00000000-0005-0000-0000-0000030B0000}"/>
    <cellStyle name="20% - Accent3 3 7 2" xfId="2829" xr:uid="{00000000-0005-0000-0000-0000040B0000}"/>
    <cellStyle name="20% - Accent3 3 7 2 2" xfId="2830" xr:uid="{00000000-0005-0000-0000-0000050B0000}"/>
    <cellStyle name="20% - Accent3 3 7 3" xfId="2831" xr:uid="{00000000-0005-0000-0000-0000060B0000}"/>
    <cellStyle name="20% - Accent3 3 8" xfId="2832" xr:uid="{00000000-0005-0000-0000-0000070B0000}"/>
    <cellStyle name="20% - Accent3 3 8 2" xfId="2833" xr:uid="{00000000-0005-0000-0000-0000080B0000}"/>
    <cellStyle name="20% - Accent3 3 9" xfId="2834" xr:uid="{00000000-0005-0000-0000-0000090B0000}"/>
    <cellStyle name="20% - Accent3 4" xfId="2835" xr:uid="{00000000-0005-0000-0000-00000A0B0000}"/>
    <cellStyle name="20% - Accent3 4 2" xfId="2836" xr:uid="{00000000-0005-0000-0000-00000B0B0000}"/>
    <cellStyle name="20% - Accent3 4 2 2" xfId="2837" xr:uid="{00000000-0005-0000-0000-00000C0B0000}"/>
    <cellStyle name="20% - Accent3 4 2 2 2" xfId="2838" xr:uid="{00000000-0005-0000-0000-00000D0B0000}"/>
    <cellStyle name="20% - Accent3 4 2 2 2 2" xfId="2839" xr:uid="{00000000-0005-0000-0000-00000E0B0000}"/>
    <cellStyle name="20% - Accent3 4 2 2 2 2 2" xfId="2840" xr:uid="{00000000-0005-0000-0000-00000F0B0000}"/>
    <cellStyle name="20% - Accent3 4 2 2 2 2 2 2" xfId="2841" xr:uid="{00000000-0005-0000-0000-0000100B0000}"/>
    <cellStyle name="20% - Accent3 4 2 2 2 2 2 2 2" xfId="2842" xr:uid="{00000000-0005-0000-0000-0000110B0000}"/>
    <cellStyle name="20% - Accent3 4 2 2 2 2 2 3" xfId="2843" xr:uid="{00000000-0005-0000-0000-0000120B0000}"/>
    <cellStyle name="20% - Accent3 4 2 2 2 2 3" xfId="2844" xr:uid="{00000000-0005-0000-0000-0000130B0000}"/>
    <cellStyle name="20% - Accent3 4 2 2 2 2 3 2" xfId="2845" xr:uid="{00000000-0005-0000-0000-0000140B0000}"/>
    <cellStyle name="20% - Accent3 4 2 2 2 2 4" xfId="2846" xr:uid="{00000000-0005-0000-0000-0000150B0000}"/>
    <cellStyle name="20% - Accent3 4 2 2 2 3" xfId="2847" xr:uid="{00000000-0005-0000-0000-0000160B0000}"/>
    <cellStyle name="20% - Accent3 4 2 2 2 3 2" xfId="2848" xr:uid="{00000000-0005-0000-0000-0000170B0000}"/>
    <cellStyle name="20% - Accent3 4 2 2 2 3 2 2" xfId="2849" xr:uid="{00000000-0005-0000-0000-0000180B0000}"/>
    <cellStyle name="20% - Accent3 4 2 2 2 3 3" xfId="2850" xr:uid="{00000000-0005-0000-0000-0000190B0000}"/>
    <cellStyle name="20% - Accent3 4 2 2 2 4" xfId="2851" xr:uid="{00000000-0005-0000-0000-00001A0B0000}"/>
    <cellStyle name="20% - Accent3 4 2 2 2 4 2" xfId="2852" xr:uid="{00000000-0005-0000-0000-00001B0B0000}"/>
    <cellStyle name="20% - Accent3 4 2 2 2 5" xfId="2853" xr:uid="{00000000-0005-0000-0000-00001C0B0000}"/>
    <cellStyle name="20% - Accent3 4 2 2 3" xfId="2854" xr:uid="{00000000-0005-0000-0000-00001D0B0000}"/>
    <cellStyle name="20% - Accent3 4 2 2 3 2" xfId="2855" xr:uid="{00000000-0005-0000-0000-00001E0B0000}"/>
    <cellStyle name="20% - Accent3 4 2 2 3 2 2" xfId="2856" xr:uid="{00000000-0005-0000-0000-00001F0B0000}"/>
    <cellStyle name="20% - Accent3 4 2 2 3 2 2 2" xfId="2857" xr:uid="{00000000-0005-0000-0000-0000200B0000}"/>
    <cellStyle name="20% - Accent3 4 2 2 3 2 3" xfId="2858" xr:uid="{00000000-0005-0000-0000-0000210B0000}"/>
    <cellStyle name="20% - Accent3 4 2 2 3 3" xfId="2859" xr:uid="{00000000-0005-0000-0000-0000220B0000}"/>
    <cellStyle name="20% - Accent3 4 2 2 3 3 2" xfId="2860" xr:uid="{00000000-0005-0000-0000-0000230B0000}"/>
    <cellStyle name="20% - Accent3 4 2 2 3 4" xfId="2861" xr:uid="{00000000-0005-0000-0000-0000240B0000}"/>
    <cellStyle name="20% - Accent3 4 2 2 4" xfId="2862" xr:uid="{00000000-0005-0000-0000-0000250B0000}"/>
    <cellStyle name="20% - Accent3 4 2 2 4 2" xfId="2863" xr:uid="{00000000-0005-0000-0000-0000260B0000}"/>
    <cellStyle name="20% - Accent3 4 2 2 4 2 2" xfId="2864" xr:uid="{00000000-0005-0000-0000-0000270B0000}"/>
    <cellStyle name="20% - Accent3 4 2 2 4 3" xfId="2865" xr:uid="{00000000-0005-0000-0000-0000280B0000}"/>
    <cellStyle name="20% - Accent3 4 2 2 5" xfId="2866" xr:uid="{00000000-0005-0000-0000-0000290B0000}"/>
    <cellStyle name="20% - Accent3 4 2 2 5 2" xfId="2867" xr:uid="{00000000-0005-0000-0000-00002A0B0000}"/>
    <cellStyle name="20% - Accent3 4 2 2 6" xfId="2868" xr:uid="{00000000-0005-0000-0000-00002B0B0000}"/>
    <cellStyle name="20% - Accent3 4 2 3" xfId="2869" xr:uid="{00000000-0005-0000-0000-00002C0B0000}"/>
    <cellStyle name="20% - Accent3 4 2 3 2" xfId="2870" xr:uid="{00000000-0005-0000-0000-00002D0B0000}"/>
    <cellStyle name="20% - Accent3 4 2 3 2 2" xfId="2871" xr:uid="{00000000-0005-0000-0000-00002E0B0000}"/>
    <cellStyle name="20% - Accent3 4 2 3 2 2 2" xfId="2872" xr:uid="{00000000-0005-0000-0000-00002F0B0000}"/>
    <cellStyle name="20% - Accent3 4 2 3 2 2 2 2" xfId="2873" xr:uid="{00000000-0005-0000-0000-0000300B0000}"/>
    <cellStyle name="20% - Accent3 4 2 3 2 2 3" xfId="2874" xr:uid="{00000000-0005-0000-0000-0000310B0000}"/>
    <cellStyle name="20% - Accent3 4 2 3 2 3" xfId="2875" xr:uid="{00000000-0005-0000-0000-0000320B0000}"/>
    <cellStyle name="20% - Accent3 4 2 3 2 3 2" xfId="2876" xr:uid="{00000000-0005-0000-0000-0000330B0000}"/>
    <cellStyle name="20% - Accent3 4 2 3 2 4" xfId="2877" xr:uid="{00000000-0005-0000-0000-0000340B0000}"/>
    <cellStyle name="20% - Accent3 4 2 3 3" xfId="2878" xr:uid="{00000000-0005-0000-0000-0000350B0000}"/>
    <cellStyle name="20% - Accent3 4 2 3 3 2" xfId="2879" xr:uid="{00000000-0005-0000-0000-0000360B0000}"/>
    <cellStyle name="20% - Accent3 4 2 3 3 2 2" xfId="2880" xr:uid="{00000000-0005-0000-0000-0000370B0000}"/>
    <cellStyle name="20% - Accent3 4 2 3 3 3" xfId="2881" xr:uid="{00000000-0005-0000-0000-0000380B0000}"/>
    <cellStyle name="20% - Accent3 4 2 3 4" xfId="2882" xr:uid="{00000000-0005-0000-0000-0000390B0000}"/>
    <cellStyle name="20% - Accent3 4 2 3 4 2" xfId="2883" xr:uid="{00000000-0005-0000-0000-00003A0B0000}"/>
    <cellStyle name="20% - Accent3 4 2 3 5" xfId="2884" xr:uid="{00000000-0005-0000-0000-00003B0B0000}"/>
    <cellStyle name="20% - Accent3 4 2 4" xfId="2885" xr:uid="{00000000-0005-0000-0000-00003C0B0000}"/>
    <cellStyle name="20% - Accent3 4 2 4 2" xfId="2886" xr:uid="{00000000-0005-0000-0000-00003D0B0000}"/>
    <cellStyle name="20% - Accent3 4 2 4 2 2" xfId="2887" xr:uid="{00000000-0005-0000-0000-00003E0B0000}"/>
    <cellStyle name="20% - Accent3 4 2 4 2 2 2" xfId="2888" xr:uid="{00000000-0005-0000-0000-00003F0B0000}"/>
    <cellStyle name="20% - Accent3 4 2 4 2 3" xfId="2889" xr:uid="{00000000-0005-0000-0000-0000400B0000}"/>
    <cellStyle name="20% - Accent3 4 2 4 3" xfId="2890" xr:uid="{00000000-0005-0000-0000-0000410B0000}"/>
    <cellStyle name="20% - Accent3 4 2 4 3 2" xfId="2891" xr:uid="{00000000-0005-0000-0000-0000420B0000}"/>
    <cellStyle name="20% - Accent3 4 2 4 4" xfId="2892" xr:uid="{00000000-0005-0000-0000-0000430B0000}"/>
    <cellStyle name="20% - Accent3 4 2 5" xfId="2893" xr:uid="{00000000-0005-0000-0000-0000440B0000}"/>
    <cellStyle name="20% - Accent3 4 2 5 2" xfId="2894" xr:uid="{00000000-0005-0000-0000-0000450B0000}"/>
    <cellStyle name="20% - Accent3 4 2 5 2 2" xfId="2895" xr:uid="{00000000-0005-0000-0000-0000460B0000}"/>
    <cellStyle name="20% - Accent3 4 2 5 3" xfId="2896" xr:uid="{00000000-0005-0000-0000-0000470B0000}"/>
    <cellStyle name="20% - Accent3 4 2 6" xfId="2897" xr:uid="{00000000-0005-0000-0000-0000480B0000}"/>
    <cellStyle name="20% - Accent3 4 2 6 2" xfId="2898" xr:uid="{00000000-0005-0000-0000-0000490B0000}"/>
    <cellStyle name="20% - Accent3 4 2 7" xfId="2899" xr:uid="{00000000-0005-0000-0000-00004A0B0000}"/>
    <cellStyle name="20% - Accent3 4 3" xfId="2900" xr:uid="{00000000-0005-0000-0000-00004B0B0000}"/>
    <cellStyle name="20% - Accent3 4 3 2" xfId="2901" xr:uid="{00000000-0005-0000-0000-00004C0B0000}"/>
    <cellStyle name="20% - Accent3 4 3 2 2" xfId="2902" xr:uid="{00000000-0005-0000-0000-00004D0B0000}"/>
    <cellStyle name="20% - Accent3 4 3 2 2 2" xfId="2903" xr:uid="{00000000-0005-0000-0000-00004E0B0000}"/>
    <cellStyle name="20% - Accent3 4 3 2 2 2 2" xfId="2904" xr:uid="{00000000-0005-0000-0000-00004F0B0000}"/>
    <cellStyle name="20% - Accent3 4 3 2 2 2 2 2" xfId="2905" xr:uid="{00000000-0005-0000-0000-0000500B0000}"/>
    <cellStyle name="20% - Accent3 4 3 2 2 2 3" xfId="2906" xr:uid="{00000000-0005-0000-0000-0000510B0000}"/>
    <cellStyle name="20% - Accent3 4 3 2 2 3" xfId="2907" xr:uid="{00000000-0005-0000-0000-0000520B0000}"/>
    <cellStyle name="20% - Accent3 4 3 2 2 3 2" xfId="2908" xr:uid="{00000000-0005-0000-0000-0000530B0000}"/>
    <cellStyle name="20% - Accent3 4 3 2 2 4" xfId="2909" xr:uid="{00000000-0005-0000-0000-0000540B0000}"/>
    <cellStyle name="20% - Accent3 4 3 2 3" xfId="2910" xr:uid="{00000000-0005-0000-0000-0000550B0000}"/>
    <cellStyle name="20% - Accent3 4 3 2 3 2" xfId="2911" xr:uid="{00000000-0005-0000-0000-0000560B0000}"/>
    <cellStyle name="20% - Accent3 4 3 2 3 2 2" xfId="2912" xr:uid="{00000000-0005-0000-0000-0000570B0000}"/>
    <cellStyle name="20% - Accent3 4 3 2 3 3" xfId="2913" xr:uid="{00000000-0005-0000-0000-0000580B0000}"/>
    <cellStyle name="20% - Accent3 4 3 2 4" xfId="2914" xr:uid="{00000000-0005-0000-0000-0000590B0000}"/>
    <cellStyle name="20% - Accent3 4 3 2 4 2" xfId="2915" xr:uid="{00000000-0005-0000-0000-00005A0B0000}"/>
    <cellStyle name="20% - Accent3 4 3 2 5" xfId="2916" xr:uid="{00000000-0005-0000-0000-00005B0B0000}"/>
    <cellStyle name="20% - Accent3 4 3 3" xfId="2917" xr:uid="{00000000-0005-0000-0000-00005C0B0000}"/>
    <cellStyle name="20% - Accent3 4 3 3 2" xfId="2918" xr:uid="{00000000-0005-0000-0000-00005D0B0000}"/>
    <cellStyle name="20% - Accent3 4 3 3 2 2" xfId="2919" xr:uid="{00000000-0005-0000-0000-00005E0B0000}"/>
    <cellStyle name="20% - Accent3 4 3 3 2 2 2" xfId="2920" xr:uid="{00000000-0005-0000-0000-00005F0B0000}"/>
    <cellStyle name="20% - Accent3 4 3 3 2 3" xfId="2921" xr:uid="{00000000-0005-0000-0000-0000600B0000}"/>
    <cellStyle name="20% - Accent3 4 3 3 3" xfId="2922" xr:uid="{00000000-0005-0000-0000-0000610B0000}"/>
    <cellStyle name="20% - Accent3 4 3 3 3 2" xfId="2923" xr:uid="{00000000-0005-0000-0000-0000620B0000}"/>
    <cellStyle name="20% - Accent3 4 3 3 4" xfId="2924" xr:uid="{00000000-0005-0000-0000-0000630B0000}"/>
    <cellStyle name="20% - Accent3 4 3 4" xfId="2925" xr:uid="{00000000-0005-0000-0000-0000640B0000}"/>
    <cellStyle name="20% - Accent3 4 3 4 2" xfId="2926" xr:uid="{00000000-0005-0000-0000-0000650B0000}"/>
    <cellStyle name="20% - Accent3 4 3 4 2 2" xfId="2927" xr:uid="{00000000-0005-0000-0000-0000660B0000}"/>
    <cellStyle name="20% - Accent3 4 3 4 3" xfId="2928" xr:uid="{00000000-0005-0000-0000-0000670B0000}"/>
    <cellStyle name="20% - Accent3 4 3 5" xfId="2929" xr:uid="{00000000-0005-0000-0000-0000680B0000}"/>
    <cellStyle name="20% - Accent3 4 3 5 2" xfId="2930" xr:uid="{00000000-0005-0000-0000-0000690B0000}"/>
    <cellStyle name="20% - Accent3 4 3 6" xfId="2931" xr:uid="{00000000-0005-0000-0000-00006A0B0000}"/>
    <cellStyle name="20% - Accent3 4 4" xfId="2932" xr:uid="{00000000-0005-0000-0000-00006B0B0000}"/>
    <cellStyle name="20% - Accent3 4 4 2" xfId="2933" xr:uid="{00000000-0005-0000-0000-00006C0B0000}"/>
    <cellStyle name="20% - Accent3 4 4 2 2" xfId="2934" xr:uid="{00000000-0005-0000-0000-00006D0B0000}"/>
    <cellStyle name="20% - Accent3 4 4 2 2 2" xfId="2935" xr:uid="{00000000-0005-0000-0000-00006E0B0000}"/>
    <cellStyle name="20% - Accent3 4 4 2 2 2 2" xfId="2936" xr:uid="{00000000-0005-0000-0000-00006F0B0000}"/>
    <cellStyle name="20% - Accent3 4 4 2 2 3" xfId="2937" xr:uid="{00000000-0005-0000-0000-0000700B0000}"/>
    <cellStyle name="20% - Accent3 4 4 2 3" xfId="2938" xr:uid="{00000000-0005-0000-0000-0000710B0000}"/>
    <cellStyle name="20% - Accent3 4 4 2 3 2" xfId="2939" xr:uid="{00000000-0005-0000-0000-0000720B0000}"/>
    <cellStyle name="20% - Accent3 4 4 2 4" xfId="2940" xr:uid="{00000000-0005-0000-0000-0000730B0000}"/>
    <cellStyle name="20% - Accent3 4 4 3" xfId="2941" xr:uid="{00000000-0005-0000-0000-0000740B0000}"/>
    <cellStyle name="20% - Accent3 4 4 3 2" xfId="2942" xr:uid="{00000000-0005-0000-0000-0000750B0000}"/>
    <cellStyle name="20% - Accent3 4 4 3 2 2" xfId="2943" xr:uid="{00000000-0005-0000-0000-0000760B0000}"/>
    <cellStyle name="20% - Accent3 4 4 3 3" xfId="2944" xr:uid="{00000000-0005-0000-0000-0000770B0000}"/>
    <cellStyle name="20% - Accent3 4 4 4" xfId="2945" xr:uid="{00000000-0005-0000-0000-0000780B0000}"/>
    <cellStyle name="20% - Accent3 4 4 4 2" xfId="2946" xr:uid="{00000000-0005-0000-0000-0000790B0000}"/>
    <cellStyle name="20% - Accent3 4 4 5" xfId="2947" xr:uid="{00000000-0005-0000-0000-00007A0B0000}"/>
    <cellStyle name="20% - Accent3 4 5" xfId="2948" xr:uid="{00000000-0005-0000-0000-00007B0B0000}"/>
    <cellStyle name="20% - Accent3 4 5 2" xfId="2949" xr:uid="{00000000-0005-0000-0000-00007C0B0000}"/>
    <cellStyle name="20% - Accent3 4 5 2 2" xfId="2950" xr:uid="{00000000-0005-0000-0000-00007D0B0000}"/>
    <cellStyle name="20% - Accent3 4 5 2 2 2" xfId="2951" xr:uid="{00000000-0005-0000-0000-00007E0B0000}"/>
    <cellStyle name="20% - Accent3 4 5 2 3" xfId="2952" xr:uid="{00000000-0005-0000-0000-00007F0B0000}"/>
    <cellStyle name="20% - Accent3 4 5 3" xfId="2953" xr:uid="{00000000-0005-0000-0000-0000800B0000}"/>
    <cellStyle name="20% - Accent3 4 5 3 2" xfId="2954" xr:uid="{00000000-0005-0000-0000-0000810B0000}"/>
    <cellStyle name="20% - Accent3 4 5 4" xfId="2955" xr:uid="{00000000-0005-0000-0000-0000820B0000}"/>
    <cellStyle name="20% - Accent3 4 6" xfId="2956" xr:uid="{00000000-0005-0000-0000-0000830B0000}"/>
    <cellStyle name="20% - Accent3 4 6 2" xfId="2957" xr:uid="{00000000-0005-0000-0000-0000840B0000}"/>
    <cellStyle name="20% - Accent3 4 6 2 2" xfId="2958" xr:uid="{00000000-0005-0000-0000-0000850B0000}"/>
    <cellStyle name="20% - Accent3 4 6 3" xfId="2959" xr:uid="{00000000-0005-0000-0000-0000860B0000}"/>
    <cellStyle name="20% - Accent3 4 7" xfId="2960" xr:uid="{00000000-0005-0000-0000-0000870B0000}"/>
    <cellStyle name="20% - Accent3 4 7 2" xfId="2961" xr:uid="{00000000-0005-0000-0000-0000880B0000}"/>
    <cellStyle name="20% - Accent3 4 8" xfId="2962" xr:uid="{00000000-0005-0000-0000-0000890B0000}"/>
    <cellStyle name="20% - Accent3 5" xfId="2963" xr:uid="{00000000-0005-0000-0000-00008A0B0000}"/>
    <cellStyle name="20% - Accent3 5 2" xfId="2964" xr:uid="{00000000-0005-0000-0000-00008B0B0000}"/>
    <cellStyle name="20% - Accent3 5 2 2" xfId="2965" xr:uid="{00000000-0005-0000-0000-00008C0B0000}"/>
    <cellStyle name="20% - Accent3 5 2 2 2" xfId="2966" xr:uid="{00000000-0005-0000-0000-00008D0B0000}"/>
    <cellStyle name="20% - Accent3 5 2 2 2 2" xfId="2967" xr:uid="{00000000-0005-0000-0000-00008E0B0000}"/>
    <cellStyle name="20% - Accent3 5 2 2 2 2 2" xfId="2968" xr:uid="{00000000-0005-0000-0000-00008F0B0000}"/>
    <cellStyle name="20% - Accent3 5 2 2 2 2 2 2" xfId="2969" xr:uid="{00000000-0005-0000-0000-0000900B0000}"/>
    <cellStyle name="20% - Accent3 5 2 2 2 2 3" xfId="2970" xr:uid="{00000000-0005-0000-0000-0000910B0000}"/>
    <cellStyle name="20% - Accent3 5 2 2 2 3" xfId="2971" xr:uid="{00000000-0005-0000-0000-0000920B0000}"/>
    <cellStyle name="20% - Accent3 5 2 2 2 3 2" xfId="2972" xr:uid="{00000000-0005-0000-0000-0000930B0000}"/>
    <cellStyle name="20% - Accent3 5 2 2 2 4" xfId="2973" xr:uid="{00000000-0005-0000-0000-0000940B0000}"/>
    <cellStyle name="20% - Accent3 5 2 2 3" xfId="2974" xr:uid="{00000000-0005-0000-0000-0000950B0000}"/>
    <cellStyle name="20% - Accent3 5 2 2 3 2" xfId="2975" xr:uid="{00000000-0005-0000-0000-0000960B0000}"/>
    <cellStyle name="20% - Accent3 5 2 2 3 2 2" xfId="2976" xr:uid="{00000000-0005-0000-0000-0000970B0000}"/>
    <cellStyle name="20% - Accent3 5 2 2 3 3" xfId="2977" xr:uid="{00000000-0005-0000-0000-0000980B0000}"/>
    <cellStyle name="20% - Accent3 5 2 2 4" xfId="2978" xr:uid="{00000000-0005-0000-0000-0000990B0000}"/>
    <cellStyle name="20% - Accent3 5 2 2 4 2" xfId="2979" xr:uid="{00000000-0005-0000-0000-00009A0B0000}"/>
    <cellStyle name="20% - Accent3 5 2 2 5" xfId="2980" xr:uid="{00000000-0005-0000-0000-00009B0B0000}"/>
    <cellStyle name="20% - Accent3 5 2 3" xfId="2981" xr:uid="{00000000-0005-0000-0000-00009C0B0000}"/>
    <cellStyle name="20% - Accent3 5 2 3 2" xfId="2982" xr:uid="{00000000-0005-0000-0000-00009D0B0000}"/>
    <cellStyle name="20% - Accent3 5 2 3 2 2" xfId="2983" xr:uid="{00000000-0005-0000-0000-00009E0B0000}"/>
    <cellStyle name="20% - Accent3 5 2 3 2 2 2" xfId="2984" xr:uid="{00000000-0005-0000-0000-00009F0B0000}"/>
    <cellStyle name="20% - Accent3 5 2 3 2 3" xfId="2985" xr:uid="{00000000-0005-0000-0000-0000A00B0000}"/>
    <cellStyle name="20% - Accent3 5 2 3 3" xfId="2986" xr:uid="{00000000-0005-0000-0000-0000A10B0000}"/>
    <cellStyle name="20% - Accent3 5 2 3 3 2" xfId="2987" xr:uid="{00000000-0005-0000-0000-0000A20B0000}"/>
    <cellStyle name="20% - Accent3 5 2 3 4" xfId="2988" xr:uid="{00000000-0005-0000-0000-0000A30B0000}"/>
    <cellStyle name="20% - Accent3 5 2 4" xfId="2989" xr:uid="{00000000-0005-0000-0000-0000A40B0000}"/>
    <cellStyle name="20% - Accent3 5 2 4 2" xfId="2990" xr:uid="{00000000-0005-0000-0000-0000A50B0000}"/>
    <cellStyle name="20% - Accent3 5 2 4 2 2" xfId="2991" xr:uid="{00000000-0005-0000-0000-0000A60B0000}"/>
    <cellStyle name="20% - Accent3 5 2 4 3" xfId="2992" xr:uid="{00000000-0005-0000-0000-0000A70B0000}"/>
    <cellStyle name="20% - Accent3 5 2 5" xfId="2993" xr:uid="{00000000-0005-0000-0000-0000A80B0000}"/>
    <cellStyle name="20% - Accent3 5 2 5 2" xfId="2994" xr:uid="{00000000-0005-0000-0000-0000A90B0000}"/>
    <cellStyle name="20% - Accent3 5 2 6" xfId="2995" xr:uid="{00000000-0005-0000-0000-0000AA0B0000}"/>
    <cellStyle name="20% - Accent3 5 3" xfId="2996" xr:uid="{00000000-0005-0000-0000-0000AB0B0000}"/>
    <cellStyle name="20% - Accent3 5 3 2" xfId="2997" xr:uid="{00000000-0005-0000-0000-0000AC0B0000}"/>
    <cellStyle name="20% - Accent3 5 3 2 2" xfId="2998" xr:uid="{00000000-0005-0000-0000-0000AD0B0000}"/>
    <cellStyle name="20% - Accent3 5 3 2 2 2" xfId="2999" xr:uid="{00000000-0005-0000-0000-0000AE0B0000}"/>
    <cellStyle name="20% - Accent3 5 3 2 2 2 2" xfId="3000" xr:uid="{00000000-0005-0000-0000-0000AF0B0000}"/>
    <cellStyle name="20% - Accent3 5 3 2 2 3" xfId="3001" xr:uid="{00000000-0005-0000-0000-0000B00B0000}"/>
    <cellStyle name="20% - Accent3 5 3 2 3" xfId="3002" xr:uid="{00000000-0005-0000-0000-0000B10B0000}"/>
    <cellStyle name="20% - Accent3 5 3 2 3 2" xfId="3003" xr:uid="{00000000-0005-0000-0000-0000B20B0000}"/>
    <cellStyle name="20% - Accent3 5 3 2 4" xfId="3004" xr:uid="{00000000-0005-0000-0000-0000B30B0000}"/>
    <cellStyle name="20% - Accent3 5 3 3" xfId="3005" xr:uid="{00000000-0005-0000-0000-0000B40B0000}"/>
    <cellStyle name="20% - Accent3 5 3 3 2" xfId="3006" xr:uid="{00000000-0005-0000-0000-0000B50B0000}"/>
    <cellStyle name="20% - Accent3 5 3 3 2 2" xfId="3007" xr:uid="{00000000-0005-0000-0000-0000B60B0000}"/>
    <cellStyle name="20% - Accent3 5 3 3 3" xfId="3008" xr:uid="{00000000-0005-0000-0000-0000B70B0000}"/>
    <cellStyle name="20% - Accent3 5 3 4" xfId="3009" xr:uid="{00000000-0005-0000-0000-0000B80B0000}"/>
    <cellStyle name="20% - Accent3 5 3 4 2" xfId="3010" xr:uid="{00000000-0005-0000-0000-0000B90B0000}"/>
    <cellStyle name="20% - Accent3 5 3 5" xfId="3011" xr:uid="{00000000-0005-0000-0000-0000BA0B0000}"/>
    <cellStyle name="20% - Accent3 5 4" xfId="3012" xr:uid="{00000000-0005-0000-0000-0000BB0B0000}"/>
    <cellStyle name="20% - Accent3 5 4 2" xfId="3013" xr:uid="{00000000-0005-0000-0000-0000BC0B0000}"/>
    <cellStyle name="20% - Accent3 5 4 2 2" xfId="3014" xr:uid="{00000000-0005-0000-0000-0000BD0B0000}"/>
    <cellStyle name="20% - Accent3 5 4 2 2 2" xfId="3015" xr:uid="{00000000-0005-0000-0000-0000BE0B0000}"/>
    <cellStyle name="20% - Accent3 5 4 2 3" xfId="3016" xr:uid="{00000000-0005-0000-0000-0000BF0B0000}"/>
    <cellStyle name="20% - Accent3 5 4 3" xfId="3017" xr:uid="{00000000-0005-0000-0000-0000C00B0000}"/>
    <cellStyle name="20% - Accent3 5 4 3 2" xfId="3018" xr:uid="{00000000-0005-0000-0000-0000C10B0000}"/>
    <cellStyle name="20% - Accent3 5 4 4" xfId="3019" xr:uid="{00000000-0005-0000-0000-0000C20B0000}"/>
    <cellStyle name="20% - Accent3 5 5" xfId="3020" xr:uid="{00000000-0005-0000-0000-0000C30B0000}"/>
    <cellStyle name="20% - Accent3 5 5 2" xfId="3021" xr:uid="{00000000-0005-0000-0000-0000C40B0000}"/>
    <cellStyle name="20% - Accent3 5 5 2 2" xfId="3022" xr:uid="{00000000-0005-0000-0000-0000C50B0000}"/>
    <cellStyle name="20% - Accent3 5 5 3" xfId="3023" xr:uid="{00000000-0005-0000-0000-0000C60B0000}"/>
    <cellStyle name="20% - Accent3 5 6" xfId="3024" xr:uid="{00000000-0005-0000-0000-0000C70B0000}"/>
    <cellStyle name="20% - Accent3 5 6 2" xfId="3025" xr:uid="{00000000-0005-0000-0000-0000C80B0000}"/>
    <cellStyle name="20% - Accent3 5 7" xfId="3026" xr:uid="{00000000-0005-0000-0000-0000C90B0000}"/>
    <cellStyle name="20% - Accent3 6" xfId="3027" xr:uid="{00000000-0005-0000-0000-0000CA0B0000}"/>
    <cellStyle name="20% - Accent3 6 2" xfId="3028" xr:uid="{00000000-0005-0000-0000-0000CB0B0000}"/>
    <cellStyle name="20% - Accent3 6 2 2" xfId="3029" xr:uid="{00000000-0005-0000-0000-0000CC0B0000}"/>
    <cellStyle name="20% - Accent3 6 2 2 2" xfId="3030" xr:uid="{00000000-0005-0000-0000-0000CD0B0000}"/>
    <cellStyle name="20% - Accent3 6 2 2 2 2" xfId="3031" xr:uid="{00000000-0005-0000-0000-0000CE0B0000}"/>
    <cellStyle name="20% - Accent3 6 2 2 2 2 2" xfId="3032" xr:uid="{00000000-0005-0000-0000-0000CF0B0000}"/>
    <cellStyle name="20% - Accent3 6 2 2 2 3" xfId="3033" xr:uid="{00000000-0005-0000-0000-0000D00B0000}"/>
    <cellStyle name="20% - Accent3 6 2 2 3" xfId="3034" xr:uid="{00000000-0005-0000-0000-0000D10B0000}"/>
    <cellStyle name="20% - Accent3 6 2 2 3 2" xfId="3035" xr:uid="{00000000-0005-0000-0000-0000D20B0000}"/>
    <cellStyle name="20% - Accent3 6 2 2 4" xfId="3036" xr:uid="{00000000-0005-0000-0000-0000D30B0000}"/>
    <cellStyle name="20% - Accent3 6 2 3" xfId="3037" xr:uid="{00000000-0005-0000-0000-0000D40B0000}"/>
    <cellStyle name="20% - Accent3 6 2 3 2" xfId="3038" xr:uid="{00000000-0005-0000-0000-0000D50B0000}"/>
    <cellStyle name="20% - Accent3 6 2 3 2 2" xfId="3039" xr:uid="{00000000-0005-0000-0000-0000D60B0000}"/>
    <cellStyle name="20% - Accent3 6 2 3 3" xfId="3040" xr:uid="{00000000-0005-0000-0000-0000D70B0000}"/>
    <cellStyle name="20% - Accent3 6 2 4" xfId="3041" xr:uid="{00000000-0005-0000-0000-0000D80B0000}"/>
    <cellStyle name="20% - Accent3 6 2 4 2" xfId="3042" xr:uid="{00000000-0005-0000-0000-0000D90B0000}"/>
    <cellStyle name="20% - Accent3 6 2 5" xfId="3043" xr:uid="{00000000-0005-0000-0000-0000DA0B0000}"/>
    <cellStyle name="20% - Accent3 6 3" xfId="3044" xr:uid="{00000000-0005-0000-0000-0000DB0B0000}"/>
    <cellStyle name="20% - Accent3 6 3 2" xfId="3045" xr:uid="{00000000-0005-0000-0000-0000DC0B0000}"/>
    <cellStyle name="20% - Accent3 6 3 2 2" xfId="3046" xr:uid="{00000000-0005-0000-0000-0000DD0B0000}"/>
    <cellStyle name="20% - Accent3 6 3 2 2 2" xfId="3047" xr:uid="{00000000-0005-0000-0000-0000DE0B0000}"/>
    <cellStyle name="20% - Accent3 6 3 2 3" xfId="3048" xr:uid="{00000000-0005-0000-0000-0000DF0B0000}"/>
    <cellStyle name="20% - Accent3 6 3 3" xfId="3049" xr:uid="{00000000-0005-0000-0000-0000E00B0000}"/>
    <cellStyle name="20% - Accent3 6 3 3 2" xfId="3050" xr:uid="{00000000-0005-0000-0000-0000E10B0000}"/>
    <cellStyle name="20% - Accent3 6 3 4" xfId="3051" xr:uid="{00000000-0005-0000-0000-0000E20B0000}"/>
    <cellStyle name="20% - Accent3 6 4" xfId="3052" xr:uid="{00000000-0005-0000-0000-0000E30B0000}"/>
    <cellStyle name="20% - Accent3 6 4 2" xfId="3053" xr:uid="{00000000-0005-0000-0000-0000E40B0000}"/>
    <cellStyle name="20% - Accent3 6 4 2 2" xfId="3054" xr:uid="{00000000-0005-0000-0000-0000E50B0000}"/>
    <cellStyle name="20% - Accent3 6 4 3" xfId="3055" xr:uid="{00000000-0005-0000-0000-0000E60B0000}"/>
    <cellStyle name="20% - Accent3 6 5" xfId="3056" xr:uid="{00000000-0005-0000-0000-0000E70B0000}"/>
    <cellStyle name="20% - Accent3 6 5 2" xfId="3057" xr:uid="{00000000-0005-0000-0000-0000E80B0000}"/>
    <cellStyle name="20% - Accent3 6 6" xfId="3058" xr:uid="{00000000-0005-0000-0000-0000E90B0000}"/>
    <cellStyle name="20% - Accent3 7" xfId="3059" xr:uid="{00000000-0005-0000-0000-0000EA0B0000}"/>
    <cellStyle name="20% - Accent3 7 2" xfId="3060" xr:uid="{00000000-0005-0000-0000-0000EB0B0000}"/>
    <cellStyle name="20% - Accent3 7 2 2" xfId="3061" xr:uid="{00000000-0005-0000-0000-0000EC0B0000}"/>
    <cellStyle name="20% - Accent3 7 2 2 2" xfId="3062" xr:uid="{00000000-0005-0000-0000-0000ED0B0000}"/>
    <cellStyle name="20% - Accent3 7 2 2 2 2" xfId="3063" xr:uid="{00000000-0005-0000-0000-0000EE0B0000}"/>
    <cellStyle name="20% - Accent3 7 2 2 3" xfId="3064" xr:uid="{00000000-0005-0000-0000-0000EF0B0000}"/>
    <cellStyle name="20% - Accent3 7 2 3" xfId="3065" xr:uid="{00000000-0005-0000-0000-0000F00B0000}"/>
    <cellStyle name="20% - Accent3 7 2 3 2" xfId="3066" xr:uid="{00000000-0005-0000-0000-0000F10B0000}"/>
    <cellStyle name="20% - Accent3 7 2 4" xfId="3067" xr:uid="{00000000-0005-0000-0000-0000F20B0000}"/>
    <cellStyle name="20% - Accent3 7 3" xfId="3068" xr:uid="{00000000-0005-0000-0000-0000F30B0000}"/>
    <cellStyle name="20% - Accent3 7 3 2" xfId="3069" xr:uid="{00000000-0005-0000-0000-0000F40B0000}"/>
    <cellStyle name="20% - Accent3 7 3 2 2" xfId="3070" xr:uid="{00000000-0005-0000-0000-0000F50B0000}"/>
    <cellStyle name="20% - Accent3 7 3 3" xfId="3071" xr:uid="{00000000-0005-0000-0000-0000F60B0000}"/>
    <cellStyle name="20% - Accent3 7 4" xfId="3072" xr:uid="{00000000-0005-0000-0000-0000F70B0000}"/>
    <cellStyle name="20% - Accent3 7 4 2" xfId="3073" xr:uid="{00000000-0005-0000-0000-0000F80B0000}"/>
    <cellStyle name="20% - Accent3 7 5" xfId="3074" xr:uid="{00000000-0005-0000-0000-0000F90B0000}"/>
    <cellStyle name="20% - Accent3 8" xfId="3075" xr:uid="{00000000-0005-0000-0000-0000FA0B0000}"/>
    <cellStyle name="20% - Accent3 8 2" xfId="3076" xr:uid="{00000000-0005-0000-0000-0000FB0B0000}"/>
    <cellStyle name="20% - Accent3 8 2 2" xfId="3077" xr:uid="{00000000-0005-0000-0000-0000FC0B0000}"/>
    <cellStyle name="20% - Accent3 8 2 2 2" xfId="3078" xr:uid="{00000000-0005-0000-0000-0000FD0B0000}"/>
    <cellStyle name="20% - Accent3 8 2 3" xfId="3079" xr:uid="{00000000-0005-0000-0000-0000FE0B0000}"/>
    <cellStyle name="20% - Accent3 8 3" xfId="3080" xr:uid="{00000000-0005-0000-0000-0000FF0B0000}"/>
    <cellStyle name="20% - Accent3 8 3 2" xfId="3081" xr:uid="{00000000-0005-0000-0000-0000000C0000}"/>
    <cellStyle name="20% - Accent3 8 4" xfId="3082" xr:uid="{00000000-0005-0000-0000-0000010C0000}"/>
    <cellStyle name="20% - Accent3 9" xfId="3083" xr:uid="{00000000-0005-0000-0000-0000020C0000}"/>
    <cellStyle name="20% - Accent3 9 2" xfId="3084" xr:uid="{00000000-0005-0000-0000-0000030C0000}"/>
    <cellStyle name="20% - Accent3 9 2 2" xfId="3085" xr:uid="{00000000-0005-0000-0000-0000040C0000}"/>
    <cellStyle name="20% - Accent3 9 3" xfId="3086" xr:uid="{00000000-0005-0000-0000-0000050C0000}"/>
    <cellStyle name="20% - Accent4 10" xfId="3087" xr:uid="{00000000-0005-0000-0000-0000060C0000}"/>
    <cellStyle name="20% - Accent4 10 2" xfId="3088" xr:uid="{00000000-0005-0000-0000-0000070C0000}"/>
    <cellStyle name="20% - Accent4 11" xfId="3089" xr:uid="{00000000-0005-0000-0000-0000080C0000}"/>
    <cellStyle name="20% - Accent4 12" xfId="3090" xr:uid="{00000000-0005-0000-0000-0000090C0000}"/>
    <cellStyle name="20% - Accent4 13" xfId="3091" xr:uid="{00000000-0005-0000-0000-00000A0C0000}"/>
    <cellStyle name="20% - Accent4 14" xfId="3092" xr:uid="{00000000-0005-0000-0000-00000B0C0000}"/>
    <cellStyle name="20% - Accent4 2" xfId="3093" xr:uid="{00000000-0005-0000-0000-00000C0C0000}"/>
    <cellStyle name="20% - Accent4 2 10" xfId="3094" xr:uid="{00000000-0005-0000-0000-00000D0C0000}"/>
    <cellStyle name="20% - Accent4 2 2" xfId="3095" xr:uid="{00000000-0005-0000-0000-00000E0C0000}"/>
    <cellStyle name="20% - Accent4 2 2 2" xfId="3096" xr:uid="{00000000-0005-0000-0000-00000F0C0000}"/>
    <cellStyle name="20% - Accent4 2 2 2 2" xfId="3097" xr:uid="{00000000-0005-0000-0000-0000100C0000}"/>
    <cellStyle name="20% - Accent4 2 2 2 2 2" xfId="3098" xr:uid="{00000000-0005-0000-0000-0000110C0000}"/>
    <cellStyle name="20% - Accent4 2 2 2 2 2 2" xfId="3099" xr:uid="{00000000-0005-0000-0000-0000120C0000}"/>
    <cellStyle name="20% - Accent4 2 2 2 2 2 2 2" xfId="3100" xr:uid="{00000000-0005-0000-0000-0000130C0000}"/>
    <cellStyle name="20% - Accent4 2 2 2 2 2 2 2 2" xfId="3101" xr:uid="{00000000-0005-0000-0000-0000140C0000}"/>
    <cellStyle name="20% - Accent4 2 2 2 2 2 2 2 2 2" xfId="3102" xr:uid="{00000000-0005-0000-0000-0000150C0000}"/>
    <cellStyle name="20% - Accent4 2 2 2 2 2 2 2 2 2 2" xfId="3103" xr:uid="{00000000-0005-0000-0000-0000160C0000}"/>
    <cellStyle name="20% - Accent4 2 2 2 2 2 2 2 2 3" xfId="3104" xr:uid="{00000000-0005-0000-0000-0000170C0000}"/>
    <cellStyle name="20% - Accent4 2 2 2 2 2 2 2 3" xfId="3105" xr:uid="{00000000-0005-0000-0000-0000180C0000}"/>
    <cellStyle name="20% - Accent4 2 2 2 2 2 2 2 3 2" xfId="3106" xr:uid="{00000000-0005-0000-0000-0000190C0000}"/>
    <cellStyle name="20% - Accent4 2 2 2 2 2 2 2 4" xfId="3107" xr:uid="{00000000-0005-0000-0000-00001A0C0000}"/>
    <cellStyle name="20% - Accent4 2 2 2 2 2 2 3" xfId="3108" xr:uid="{00000000-0005-0000-0000-00001B0C0000}"/>
    <cellStyle name="20% - Accent4 2 2 2 2 2 2 3 2" xfId="3109" xr:uid="{00000000-0005-0000-0000-00001C0C0000}"/>
    <cellStyle name="20% - Accent4 2 2 2 2 2 2 3 2 2" xfId="3110" xr:uid="{00000000-0005-0000-0000-00001D0C0000}"/>
    <cellStyle name="20% - Accent4 2 2 2 2 2 2 3 3" xfId="3111" xr:uid="{00000000-0005-0000-0000-00001E0C0000}"/>
    <cellStyle name="20% - Accent4 2 2 2 2 2 2 4" xfId="3112" xr:uid="{00000000-0005-0000-0000-00001F0C0000}"/>
    <cellStyle name="20% - Accent4 2 2 2 2 2 2 4 2" xfId="3113" xr:uid="{00000000-0005-0000-0000-0000200C0000}"/>
    <cellStyle name="20% - Accent4 2 2 2 2 2 2 5" xfId="3114" xr:uid="{00000000-0005-0000-0000-0000210C0000}"/>
    <cellStyle name="20% - Accent4 2 2 2 2 2 3" xfId="3115" xr:uid="{00000000-0005-0000-0000-0000220C0000}"/>
    <cellStyle name="20% - Accent4 2 2 2 2 2 3 2" xfId="3116" xr:uid="{00000000-0005-0000-0000-0000230C0000}"/>
    <cellStyle name="20% - Accent4 2 2 2 2 2 3 2 2" xfId="3117" xr:uid="{00000000-0005-0000-0000-0000240C0000}"/>
    <cellStyle name="20% - Accent4 2 2 2 2 2 3 2 2 2" xfId="3118" xr:uid="{00000000-0005-0000-0000-0000250C0000}"/>
    <cellStyle name="20% - Accent4 2 2 2 2 2 3 2 3" xfId="3119" xr:uid="{00000000-0005-0000-0000-0000260C0000}"/>
    <cellStyle name="20% - Accent4 2 2 2 2 2 3 3" xfId="3120" xr:uid="{00000000-0005-0000-0000-0000270C0000}"/>
    <cellStyle name="20% - Accent4 2 2 2 2 2 3 3 2" xfId="3121" xr:uid="{00000000-0005-0000-0000-0000280C0000}"/>
    <cellStyle name="20% - Accent4 2 2 2 2 2 3 4" xfId="3122" xr:uid="{00000000-0005-0000-0000-0000290C0000}"/>
    <cellStyle name="20% - Accent4 2 2 2 2 2 4" xfId="3123" xr:uid="{00000000-0005-0000-0000-00002A0C0000}"/>
    <cellStyle name="20% - Accent4 2 2 2 2 2 4 2" xfId="3124" xr:uid="{00000000-0005-0000-0000-00002B0C0000}"/>
    <cellStyle name="20% - Accent4 2 2 2 2 2 4 2 2" xfId="3125" xr:uid="{00000000-0005-0000-0000-00002C0C0000}"/>
    <cellStyle name="20% - Accent4 2 2 2 2 2 4 3" xfId="3126" xr:uid="{00000000-0005-0000-0000-00002D0C0000}"/>
    <cellStyle name="20% - Accent4 2 2 2 2 2 5" xfId="3127" xr:uid="{00000000-0005-0000-0000-00002E0C0000}"/>
    <cellStyle name="20% - Accent4 2 2 2 2 2 5 2" xfId="3128" xr:uid="{00000000-0005-0000-0000-00002F0C0000}"/>
    <cellStyle name="20% - Accent4 2 2 2 2 2 6" xfId="3129" xr:uid="{00000000-0005-0000-0000-0000300C0000}"/>
    <cellStyle name="20% - Accent4 2 2 2 2 3" xfId="3130" xr:uid="{00000000-0005-0000-0000-0000310C0000}"/>
    <cellStyle name="20% - Accent4 2 2 2 2 3 2" xfId="3131" xr:uid="{00000000-0005-0000-0000-0000320C0000}"/>
    <cellStyle name="20% - Accent4 2 2 2 2 3 2 2" xfId="3132" xr:uid="{00000000-0005-0000-0000-0000330C0000}"/>
    <cellStyle name="20% - Accent4 2 2 2 2 3 2 2 2" xfId="3133" xr:uid="{00000000-0005-0000-0000-0000340C0000}"/>
    <cellStyle name="20% - Accent4 2 2 2 2 3 2 2 2 2" xfId="3134" xr:uid="{00000000-0005-0000-0000-0000350C0000}"/>
    <cellStyle name="20% - Accent4 2 2 2 2 3 2 2 3" xfId="3135" xr:uid="{00000000-0005-0000-0000-0000360C0000}"/>
    <cellStyle name="20% - Accent4 2 2 2 2 3 2 3" xfId="3136" xr:uid="{00000000-0005-0000-0000-0000370C0000}"/>
    <cellStyle name="20% - Accent4 2 2 2 2 3 2 3 2" xfId="3137" xr:uid="{00000000-0005-0000-0000-0000380C0000}"/>
    <cellStyle name="20% - Accent4 2 2 2 2 3 2 4" xfId="3138" xr:uid="{00000000-0005-0000-0000-0000390C0000}"/>
    <cellStyle name="20% - Accent4 2 2 2 2 3 3" xfId="3139" xr:uid="{00000000-0005-0000-0000-00003A0C0000}"/>
    <cellStyle name="20% - Accent4 2 2 2 2 3 3 2" xfId="3140" xr:uid="{00000000-0005-0000-0000-00003B0C0000}"/>
    <cellStyle name="20% - Accent4 2 2 2 2 3 3 2 2" xfId="3141" xr:uid="{00000000-0005-0000-0000-00003C0C0000}"/>
    <cellStyle name="20% - Accent4 2 2 2 2 3 3 3" xfId="3142" xr:uid="{00000000-0005-0000-0000-00003D0C0000}"/>
    <cellStyle name="20% - Accent4 2 2 2 2 3 4" xfId="3143" xr:uid="{00000000-0005-0000-0000-00003E0C0000}"/>
    <cellStyle name="20% - Accent4 2 2 2 2 3 4 2" xfId="3144" xr:uid="{00000000-0005-0000-0000-00003F0C0000}"/>
    <cellStyle name="20% - Accent4 2 2 2 2 3 5" xfId="3145" xr:uid="{00000000-0005-0000-0000-0000400C0000}"/>
    <cellStyle name="20% - Accent4 2 2 2 2 4" xfId="3146" xr:uid="{00000000-0005-0000-0000-0000410C0000}"/>
    <cellStyle name="20% - Accent4 2 2 2 2 4 2" xfId="3147" xr:uid="{00000000-0005-0000-0000-0000420C0000}"/>
    <cellStyle name="20% - Accent4 2 2 2 2 4 2 2" xfId="3148" xr:uid="{00000000-0005-0000-0000-0000430C0000}"/>
    <cellStyle name="20% - Accent4 2 2 2 2 4 2 2 2" xfId="3149" xr:uid="{00000000-0005-0000-0000-0000440C0000}"/>
    <cellStyle name="20% - Accent4 2 2 2 2 4 2 3" xfId="3150" xr:uid="{00000000-0005-0000-0000-0000450C0000}"/>
    <cellStyle name="20% - Accent4 2 2 2 2 4 3" xfId="3151" xr:uid="{00000000-0005-0000-0000-0000460C0000}"/>
    <cellStyle name="20% - Accent4 2 2 2 2 4 3 2" xfId="3152" xr:uid="{00000000-0005-0000-0000-0000470C0000}"/>
    <cellStyle name="20% - Accent4 2 2 2 2 4 4" xfId="3153" xr:uid="{00000000-0005-0000-0000-0000480C0000}"/>
    <cellStyle name="20% - Accent4 2 2 2 2 5" xfId="3154" xr:uid="{00000000-0005-0000-0000-0000490C0000}"/>
    <cellStyle name="20% - Accent4 2 2 2 2 5 2" xfId="3155" xr:uid="{00000000-0005-0000-0000-00004A0C0000}"/>
    <cellStyle name="20% - Accent4 2 2 2 2 5 2 2" xfId="3156" xr:uid="{00000000-0005-0000-0000-00004B0C0000}"/>
    <cellStyle name="20% - Accent4 2 2 2 2 5 3" xfId="3157" xr:uid="{00000000-0005-0000-0000-00004C0C0000}"/>
    <cellStyle name="20% - Accent4 2 2 2 2 6" xfId="3158" xr:uid="{00000000-0005-0000-0000-00004D0C0000}"/>
    <cellStyle name="20% - Accent4 2 2 2 2 6 2" xfId="3159" xr:uid="{00000000-0005-0000-0000-00004E0C0000}"/>
    <cellStyle name="20% - Accent4 2 2 2 2 7" xfId="3160" xr:uid="{00000000-0005-0000-0000-00004F0C0000}"/>
    <cellStyle name="20% - Accent4 2 2 2 3" xfId="3161" xr:uid="{00000000-0005-0000-0000-0000500C0000}"/>
    <cellStyle name="20% - Accent4 2 2 2 3 2" xfId="3162" xr:uid="{00000000-0005-0000-0000-0000510C0000}"/>
    <cellStyle name="20% - Accent4 2 2 2 3 2 2" xfId="3163" xr:uid="{00000000-0005-0000-0000-0000520C0000}"/>
    <cellStyle name="20% - Accent4 2 2 2 3 2 2 2" xfId="3164" xr:uid="{00000000-0005-0000-0000-0000530C0000}"/>
    <cellStyle name="20% - Accent4 2 2 2 3 2 2 2 2" xfId="3165" xr:uid="{00000000-0005-0000-0000-0000540C0000}"/>
    <cellStyle name="20% - Accent4 2 2 2 3 2 2 2 2 2" xfId="3166" xr:uid="{00000000-0005-0000-0000-0000550C0000}"/>
    <cellStyle name="20% - Accent4 2 2 2 3 2 2 2 3" xfId="3167" xr:uid="{00000000-0005-0000-0000-0000560C0000}"/>
    <cellStyle name="20% - Accent4 2 2 2 3 2 2 3" xfId="3168" xr:uid="{00000000-0005-0000-0000-0000570C0000}"/>
    <cellStyle name="20% - Accent4 2 2 2 3 2 2 3 2" xfId="3169" xr:uid="{00000000-0005-0000-0000-0000580C0000}"/>
    <cellStyle name="20% - Accent4 2 2 2 3 2 2 4" xfId="3170" xr:uid="{00000000-0005-0000-0000-0000590C0000}"/>
    <cellStyle name="20% - Accent4 2 2 2 3 2 3" xfId="3171" xr:uid="{00000000-0005-0000-0000-00005A0C0000}"/>
    <cellStyle name="20% - Accent4 2 2 2 3 2 3 2" xfId="3172" xr:uid="{00000000-0005-0000-0000-00005B0C0000}"/>
    <cellStyle name="20% - Accent4 2 2 2 3 2 3 2 2" xfId="3173" xr:uid="{00000000-0005-0000-0000-00005C0C0000}"/>
    <cellStyle name="20% - Accent4 2 2 2 3 2 3 3" xfId="3174" xr:uid="{00000000-0005-0000-0000-00005D0C0000}"/>
    <cellStyle name="20% - Accent4 2 2 2 3 2 4" xfId="3175" xr:uid="{00000000-0005-0000-0000-00005E0C0000}"/>
    <cellStyle name="20% - Accent4 2 2 2 3 2 4 2" xfId="3176" xr:uid="{00000000-0005-0000-0000-00005F0C0000}"/>
    <cellStyle name="20% - Accent4 2 2 2 3 2 5" xfId="3177" xr:uid="{00000000-0005-0000-0000-0000600C0000}"/>
    <cellStyle name="20% - Accent4 2 2 2 3 3" xfId="3178" xr:uid="{00000000-0005-0000-0000-0000610C0000}"/>
    <cellStyle name="20% - Accent4 2 2 2 3 3 2" xfId="3179" xr:uid="{00000000-0005-0000-0000-0000620C0000}"/>
    <cellStyle name="20% - Accent4 2 2 2 3 3 2 2" xfId="3180" xr:uid="{00000000-0005-0000-0000-0000630C0000}"/>
    <cellStyle name="20% - Accent4 2 2 2 3 3 2 2 2" xfId="3181" xr:uid="{00000000-0005-0000-0000-0000640C0000}"/>
    <cellStyle name="20% - Accent4 2 2 2 3 3 2 3" xfId="3182" xr:uid="{00000000-0005-0000-0000-0000650C0000}"/>
    <cellStyle name="20% - Accent4 2 2 2 3 3 3" xfId="3183" xr:uid="{00000000-0005-0000-0000-0000660C0000}"/>
    <cellStyle name="20% - Accent4 2 2 2 3 3 3 2" xfId="3184" xr:uid="{00000000-0005-0000-0000-0000670C0000}"/>
    <cellStyle name="20% - Accent4 2 2 2 3 3 4" xfId="3185" xr:uid="{00000000-0005-0000-0000-0000680C0000}"/>
    <cellStyle name="20% - Accent4 2 2 2 3 4" xfId="3186" xr:uid="{00000000-0005-0000-0000-0000690C0000}"/>
    <cellStyle name="20% - Accent4 2 2 2 3 4 2" xfId="3187" xr:uid="{00000000-0005-0000-0000-00006A0C0000}"/>
    <cellStyle name="20% - Accent4 2 2 2 3 4 2 2" xfId="3188" xr:uid="{00000000-0005-0000-0000-00006B0C0000}"/>
    <cellStyle name="20% - Accent4 2 2 2 3 4 3" xfId="3189" xr:uid="{00000000-0005-0000-0000-00006C0C0000}"/>
    <cellStyle name="20% - Accent4 2 2 2 3 5" xfId="3190" xr:uid="{00000000-0005-0000-0000-00006D0C0000}"/>
    <cellStyle name="20% - Accent4 2 2 2 3 5 2" xfId="3191" xr:uid="{00000000-0005-0000-0000-00006E0C0000}"/>
    <cellStyle name="20% - Accent4 2 2 2 3 6" xfId="3192" xr:uid="{00000000-0005-0000-0000-00006F0C0000}"/>
    <cellStyle name="20% - Accent4 2 2 2 4" xfId="3193" xr:uid="{00000000-0005-0000-0000-0000700C0000}"/>
    <cellStyle name="20% - Accent4 2 2 2 4 2" xfId="3194" xr:uid="{00000000-0005-0000-0000-0000710C0000}"/>
    <cellStyle name="20% - Accent4 2 2 2 4 2 2" xfId="3195" xr:uid="{00000000-0005-0000-0000-0000720C0000}"/>
    <cellStyle name="20% - Accent4 2 2 2 4 2 2 2" xfId="3196" xr:uid="{00000000-0005-0000-0000-0000730C0000}"/>
    <cellStyle name="20% - Accent4 2 2 2 4 2 2 2 2" xfId="3197" xr:uid="{00000000-0005-0000-0000-0000740C0000}"/>
    <cellStyle name="20% - Accent4 2 2 2 4 2 2 3" xfId="3198" xr:uid="{00000000-0005-0000-0000-0000750C0000}"/>
    <cellStyle name="20% - Accent4 2 2 2 4 2 3" xfId="3199" xr:uid="{00000000-0005-0000-0000-0000760C0000}"/>
    <cellStyle name="20% - Accent4 2 2 2 4 2 3 2" xfId="3200" xr:uid="{00000000-0005-0000-0000-0000770C0000}"/>
    <cellStyle name="20% - Accent4 2 2 2 4 2 4" xfId="3201" xr:uid="{00000000-0005-0000-0000-0000780C0000}"/>
    <cellStyle name="20% - Accent4 2 2 2 4 3" xfId="3202" xr:uid="{00000000-0005-0000-0000-0000790C0000}"/>
    <cellStyle name="20% - Accent4 2 2 2 4 3 2" xfId="3203" xr:uid="{00000000-0005-0000-0000-00007A0C0000}"/>
    <cellStyle name="20% - Accent4 2 2 2 4 3 2 2" xfId="3204" xr:uid="{00000000-0005-0000-0000-00007B0C0000}"/>
    <cellStyle name="20% - Accent4 2 2 2 4 3 3" xfId="3205" xr:uid="{00000000-0005-0000-0000-00007C0C0000}"/>
    <cellStyle name="20% - Accent4 2 2 2 4 4" xfId="3206" xr:uid="{00000000-0005-0000-0000-00007D0C0000}"/>
    <cellStyle name="20% - Accent4 2 2 2 4 4 2" xfId="3207" xr:uid="{00000000-0005-0000-0000-00007E0C0000}"/>
    <cellStyle name="20% - Accent4 2 2 2 4 5" xfId="3208" xr:uid="{00000000-0005-0000-0000-00007F0C0000}"/>
    <cellStyle name="20% - Accent4 2 2 2 5" xfId="3209" xr:uid="{00000000-0005-0000-0000-0000800C0000}"/>
    <cellStyle name="20% - Accent4 2 2 2 5 2" xfId="3210" xr:uid="{00000000-0005-0000-0000-0000810C0000}"/>
    <cellStyle name="20% - Accent4 2 2 2 5 2 2" xfId="3211" xr:uid="{00000000-0005-0000-0000-0000820C0000}"/>
    <cellStyle name="20% - Accent4 2 2 2 5 2 2 2" xfId="3212" xr:uid="{00000000-0005-0000-0000-0000830C0000}"/>
    <cellStyle name="20% - Accent4 2 2 2 5 2 3" xfId="3213" xr:uid="{00000000-0005-0000-0000-0000840C0000}"/>
    <cellStyle name="20% - Accent4 2 2 2 5 3" xfId="3214" xr:uid="{00000000-0005-0000-0000-0000850C0000}"/>
    <cellStyle name="20% - Accent4 2 2 2 5 3 2" xfId="3215" xr:uid="{00000000-0005-0000-0000-0000860C0000}"/>
    <cellStyle name="20% - Accent4 2 2 2 5 4" xfId="3216" xr:uid="{00000000-0005-0000-0000-0000870C0000}"/>
    <cellStyle name="20% - Accent4 2 2 2 6" xfId="3217" xr:uid="{00000000-0005-0000-0000-0000880C0000}"/>
    <cellStyle name="20% - Accent4 2 2 2 6 2" xfId="3218" xr:uid="{00000000-0005-0000-0000-0000890C0000}"/>
    <cellStyle name="20% - Accent4 2 2 2 6 2 2" xfId="3219" xr:uid="{00000000-0005-0000-0000-00008A0C0000}"/>
    <cellStyle name="20% - Accent4 2 2 2 6 3" xfId="3220" xr:uid="{00000000-0005-0000-0000-00008B0C0000}"/>
    <cellStyle name="20% - Accent4 2 2 2 7" xfId="3221" xr:uid="{00000000-0005-0000-0000-00008C0C0000}"/>
    <cellStyle name="20% - Accent4 2 2 2 7 2" xfId="3222" xr:uid="{00000000-0005-0000-0000-00008D0C0000}"/>
    <cellStyle name="20% - Accent4 2 2 2 8" xfId="3223" xr:uid="{00000000-0005-0000-0000-00008E0C0000}"/>
    <cellStyle name="20% - Accent4 2 2 3" xfId="3224" xr:uid="{00000000-0005-0000-0000-00008F0C0000}"/>
    <cellStyle name="20% - Accent4 2 2 3 2" xfId="3225" xr:uid="{00000000-0005-0000-0000-0000900C0000}"/>
    <cellStyle name="20% - Accent4 2 2 3 2 2" xfId="3226" xr:uid="{00000000-0005-0000-0000-0000910C0000}"/>
    <cellStyle name="20% - Accent4 2 2 3 2 2 2" xfId="3227" xr:uid="{00000000-0005-0000-0000-0000920C0000}"/>
    <cellStyle name="20% - Accent4 2 2 3 2 2 2 2" xfId="3228" xr:uid="{00000000-0005-0000-0000-0000930C0000}"/>
    <cellStyle name="20% - Accent4 2 2 3 2 2 2 2 2" xfId="3229" xr:uid="{00000000-0005-0000-0000-0000940C0000}"/>
    <cellStyle name="20% - Accent4 2 2 3 2 2 2 2 2 2" xfId="3230" xr:uid="{00000000-0005-0000-0000-0000950C0000}"/>
    <cellStyle name="20% - Accent4 2 2 3 2 2 2 2 3" xfId="3231" xr:uid="{00000000-0005-0000-0000-0000960C0000}"/>
    <cellStyle name="20% - Accent4 2 2 3 2 2 2 3" xfId="3232" xr:uid="{00000000-0005-0000-0000-0000970C0000}"/>
    <cellStyle name="20% - Accent4 2 2 3 2 2 2 3 2" xfId="3233" xr:uid="{00000000-0005-0000-0000-0000980C0000}"/>
    <cellStyle name="20% - Accent4 2 2 3 2 2 2 4" xfId="3234" xr:uid="{00000000-0005-0000-0000-0000990C0000}"/>
    <cellStyle name="20% - Accent4 2 2 3 2 2 3" xfId="3235" xr:uid="{00000000-0005-0000-0000-00009A0C0000}"/>
    <cellStyle name="20% - Accent4 2 2 3 2 2 3 2" xfId="3236" xr:uid="{00000000-0005-0000-0000-00009B0C0000}"/>
    <cellStyle name="20% - Accent4 2 2 3 2 2 3 2 2" xfId="3237" xr:uid="{00000000-0005-0000-0000-00009C0C0000}"/>
    <cellStyle name="20% - Accent4 2 2 3 2 2 3 3" xfId="3238" xr:uid="{00000000-0005-0000-0000-00009D0C0000}"/>
    <cellStyle name="20% - Accent4 2 2 3 2 2 4" xfId="3239" xr:uid="{00000000-0005-0000-0000-00009E0C0000}"/>
    <cellStyle name="20% - Accent4 2 2 3 2 2 4 2" xfId="3240" xr:uid="{00000000-0005-0000-0000-00009F0C0000}"/>
    <cellStyle name="20% - Accent4 2 2 3 2 2 5" xfId="3241" xr:uid="{00000000-0005-0000-0000-0000A00C0000}"/>
    <cellStyle name="20% - Accent4 2 2 3 2 3" xfId="3242" xr:uid="{00000000-0005-0000-0000-0000A10C0000}"/>
    <cellStyle name="20% - Accent4 2 2 3 2 3 2" xfId="3243" xr:uid="{00000000-0005-0000-0000-0000A20C0000}"/>
    <cellStyle name="20% - Accent4 2 2 3 2 3 2 2" xfId="3244" xr:uid="{00000000-0005-0000-0000-0000A30C0000}"/>
    <cellStyle name="20% - Accent4 2 2 3 2 3 2 2 2" xfId="3245" xr:uid="{00000000-0005-0000-0000-0000A40C0000}"/>
    <cellStyle name="20% - Accent4 2 2 3 2 3 2 3" xfId="3246" xr:uid="{00000000-0005-0000-0000-0000A50C0000}"/>
    <cellStyle name="20% - Accent4 2 2 3 2 3 3" xfId="3247" xr:uid="{00000000-0005-0000-0000-0000A60C0000}"/>
    <cellStyle name="20% - Accent4 2 2 3 2 3 3 2" xfId="3248" xr:uid="{00000000-0005-0000-0000-0000A70C0000}"/>
    <cellStyle name="20% - Accent4 2 2 3 2 3 4" xfId="3249" xr:uid="{00000000-0005-0000-0000-0000A80C0000}"/>
    <cellStyle name="20% - Accent4 2 2 3 2 4" xfId="3250" xr:uid="{00000000-0005-0000-0000-0000A90C0000}"/>
    <cellStyle name="20% - Accent4 2 2 3 2 4 2" xfId="3251" xr:uid="{00000000-0005-0000-0000-0000AA0C0000}"/>
    <cellStyle name="20% - Accent4 2 2 3 2 4 2 2" xfId="3252" xr:uid="{00000000-0005-0000-0000-0000AB0C0000}"/>
    <cellStyle name="20% - Accent4 2 2 3 2 4 3" xfId="3253" xr:uid="{00000000-0005-0000-0000-0000AC0C0000}"/>
    <cellStyle name="20% - Accent4 2 2 3 2 5" xfId="3254" xr:uid="{00000000-0005-0000-0000-0000AD0C0000}"/>
    <cellStyle name="20% - Accent4 2 2 3 2 5 2" xfId="3255" xr:uid="{00000000-0005-0000-0000-0000AE0C0000}"/>
    <cellStyle name="20% - Accent4 2 2 3 2 6" xfId="3256" xr:uid="{00000000-0005-0000-0000-0000AF0C0000}"/>
    <cellStyle name="20% - Accent4 2 2 3 3" xfId="3257" xr:uid="{00000000-0005-0000-0000-0000B00C0000}"/>
    <cellStyle name="20% - Accent4 2 2 3 3 2" xfId="3258" xr:uid="{00000000-0005-0000-0000-0000B10C0000}"/>
    <cellStyle name="20% - Accent4 2 2 3 3 2 2" xfId="3259" xr:uid="{00000000-0005-0000-0000-0000B20C0000}"/>
    <cellStyle name="20% - Accent4 2 2 3 3 2 2 2" xfId="3260" xr:uid="{00000000-0005-0000-0000-0000B30C0000}"/>
    <cellStyle name="20% - Accent4 2 2 3 3 2 2 2 2" xfId="3261" xr:uid="{00000000-0005-0000-0000-0000B40C0000}"/>
    <cellStyle name="20% - Accent4 2 2 3 3 2 2 3" xfId="3262" xr:uid="{00000000-0005-0000-0000-0000B50C0000}"/>
    <cellStyle name="20% - Accent4 2 2 3 3 2 3" xfId="3263" xr:uid="{00000000-0005-0000-0000-0000B60C0000}"/>
    <cellStyle name="20% - Accent4 2 2 3 3 2 3 2" xfId="3264" xr:uid="{00000000-0005-0000-0000-0000B70C0000}"/>
    <cellStyle name="20% - Accent4 2 2 3 3 2 4" xfId="3265" xr:uid="{00000000-0005-0000-0000-0000B80C0000}"/>
    <cellStyle name="20% - Accent4 2 2 3 3 3" xfId="3266" xr:uid="{00000000-0005-0000-0000-0000B90C0000}"/>
    <cellStyle name="20% - Accent4 2 2 3 3 3 2" xfId="3267" xr:uid="{00000000-0005-0000-0000-0000BA0C0000}"/>
    <cellStyle name="20% - Accent4 2 2 3 3 3 2 2" xfId="3268" xr:uid="{00000000-0005-0000-0000-0000BB0C0000}"/>
    <cellStyle name="20% - Accent4 2 2 3 3 3 3" xfId="3269" xr:uid="{00000000-0005-0000-0000-0000BC0C0000}"/>
    <cellStyle name="20% - Accent4 2 2 3 3 4" xfId="3270" xr:uid="{00000000-0005-0000-0000-0000BD0C0000}"/>
    <cellStyle name="20% - Accent4 2 2 3 3 4 2" xfId="3271" xr:uid="{00000000-0005-0000-0000-0000BE0C0000}"/>
    <cellStyle name="20% - Accent4 2 2 3 3 5" xfId="3272" xr:uid="{00000000-0005-0000-0000-0000BF0C0000}"/>
    <cellStyle name="20% - Accent4 2 2 3 4" xfId="3273" xr:uid="{00000000-0005-0000-0000-0000C00C0000}"/>
    <cellStyle name="20% - Accent4 2 2 3 4 2" xfId="3274" xr:uid="{00000000-0005-0000-0000-0000C10C0000}"/>
    <cellStyle name="20% - Accent4 2 2 3 4 2 2" xfId="3275" xr:uid="{00000000-0005-0000-0000-0000C20C0000}"/>
    <cellStyle name="20% - Accent4 2 2 3 4 2 2 2" xfId="3276" xr:uid="{00000000-0005-0000-0000-0000C30C0000}"/>
    <cellStyle name="20% - Accent4 2 2 3 4 2 3" xfId="3277" xr:uid="{00000000-0005-0000-0000-0000C40C0000}"/>
    <cellStyle name="20% - Accent4 2 2 3 4 3" xfId="3278" xr:uid="{00000000-0005-0000-0000-0000C50C0000}"/>
    <cellStyle name="20% - Accent4 2 2 3 4 3 2" xfId="3279" xr:uid="{00000000-0005-0000-0000-0000C60C0000}"/>
    <cellStyle name="20% - Accent4 2 2 3 4 4" xfId="3280" xr:uid="{00000000-0005-0000-0000-0000C70C0000}"/>
    <cellStyle name="20% - Accent4 2 2 3 5" xfId="3281" xr:uid="{00000000-0005-0000-0000-0000C80C0000}"/>
    <cellStyle name="20% - Accent4 2 2 3 5 2" xfId="3282" xr:uid="{00000000-0005-0000-0000-0000C90C0000}"/>
    <cellStyle name="20% - Accent4 2 2 3 5 2 2" xfId="3283" xr:uid="{00000000-0005-0000-0000-0000CA0C0000}"/>
    <cellStyle name="20% - Accent4 2 2 3 5 3" xfId="3284" xr:uid="{00000000-0005-0000-0000-0000CB0C0000}"/>
    <cellStyle name="20% - Accent4 2 2 3 6" xfId="3285" xr:uid="{00000000-0005-0000-0000-0000CC0C0000}"/>
    <cellStyle name="20% - Accent4 2 2 3 6 2" xfId="3286" xr:uid="{00000000-0005-0000-0000-0000CD0C0000}"/>
    <cellStyle name="20% - Accent4 2 2 3 7" xfId="3287" xr:uid="{00000000-0005-0000-0000-0000CE0C0000}"/>
    <cellStyle name="20% - Accent4 2 2 4" xfId="3288" xr:uid="{00000000-0005-0000-0000-0000CF0C0000}"/>
    <cellStyle name="20% - Accent4 2 2 4 2" xfId="3289" xr:uid="{00000000-0005-0000-0000-0000D00C0000}"/>
    <cellStyle name="20% - Accent4 2 2 4 2 2" xfId="3290" xr:uid="{00000000-0005-0000-0000-0000D10C0000}"/>
    <cellStyle name="20% - Accent4 2 2 4 2 2 2" xfId="3291" xr:uid="{00000000-0005-0000-0000-0000D20C0000}"/>
    <cellStyle name="20% - Accent4 2 2 4 2 2 2 2" xfId="3292" xr:uid="{00000000-0005-0000-0000-0000D30C0000}"/>
    <cellStyle name="20% - Accent4 2 2 4 2 2 2 2 2" xfId="3293" xr:uid="{00000000-0005-0000-0000-0000D40C0000}"/>
    <cellStyle name="20% - Accent4 2 2 4 2 2 2 3" xfId="3294" xr:uid="{00000000-0005-0000-0000-0000D50C0000}"/>
    <cellStyle name="20% - Accent4 2 2 4 2 2 3" xfId="3295" xr:uid="{00000000-0005-0000-0000-0000D60C0000}"/>
    <cellStyle name="20% - Accent4 2 2 4 2 2 3 2" xfId="3296" xr:uid="{00000000-0005-0000-0000-0000D70C0000}"/>
    <cellStyle name="20% - Accent4 2 2 4 2 2 4" xfId="3297" xr:uid="{00000000-0005-0000-0000-0000D80C0000}"/>
    <cellStyle name="20% - Accent4 2 2 4 2 3" xfId="3298" xr:uid="{00000000-0005-0000-0000-0000D90C0000}"/>
    <cellStyle name="20% - Accent4 2 2 4 2 3 2" xfId="3299" xr:uid="{00000000-0005-0000-0000-0000DA0C0000}"/>
    <cellStyle name="20% - Accent4 2 2 4 2 3 2 2" xfId="3300" xr:uid="{00000000-0005-0000-0000-0000DB0C0000}"/>
    <cellStyle name="20% - Accent4 2 2 4 2 3 3" xfId="3301" xr:uid="{00000000-0005-0000-0000-0000DC0C0000}"/>
    <cellStyle name="20% - Accent4 2 2 4 2 4" xfId="3302" xr:uid="{00000000-0005-0000-0000-0000DD0C0000}"/>
    <cellStyle name="20% - Accent4 2 2 4 2 4 2" xfId="3303" xr:uid="{00000000-0005-0000-0000-0000DE0C0000}"/>
    <cellStyle name="20% - Accent4 2 2 4 2 5" xfId="3304" xr:uid="{00000000-0005-0000-0000-0000DF0C0000}"/>
    <cellStyle name="20% - Accent4 2 2 4 3" xfId="3305" xr:uid="{00000000-0005-0000-0000-0000E00C0000}"/>
    <cellStyle name="20% - Accent4 2 2 4 3 2" xfId="3306" xr:uid="{00000000-0005-0000-0000-0000E10C0000}"/>
    <cellStyle name="20% - Accent4 2 2 4 3 2 2" xfId="3307" xr:uid="{00000000-0005-0000-0000-0000E20C0000}"/>
    <cellStyle name="20% - Accent4 2 2 4 3 2 2 2" xfId="3308" xr:uid="{00000000-0005-0000-0000-0000E30C0000}"/>
    <cellStyle name="20% - Accent4 2 2 4 3 2 3" xfId="3309" xr:uid="{00000000-0005-0000-0000-0000E40C0000}"/>
    <cellStyle name="20% - Accent4 2 2 4 3 3" xfId="3310" xr:uid="{00000000-0005-0000-0000-0000E50C0000}"/>
    <cellStyle name="20% - Accent4 2 2 4 3 3 2" xfId="3311" xr:uid="{00000000-0005-0000-0000-0000E60C0000}"/>
    <cellStyle name="20% - Accent4 2 2 4 3 4" xfId="3312" xr:uid="{00000000-0005-0000-0000-0000E70C0000}"/>
    <cellStyle name="20% - Accent4 2 2 4 4" xfId="3313" xr:uid="{00000000-0005-0000-0000-0000E80C0000}"/>
    <cellStyle name="20% - Accent4 2 2 4 4 2" xfId="3314" xr:uid="{00000000-0005-0000-0000-0000E90C0000}"/>
    <cellStyle name="20% - Accent4 2 2 4 4 2 2" xfId="3315" xr:uid="{00000000-0005-0000-0000-0000EA0C0000}"/>
    <cellStyle name="20% - Accent4 2 2 4 4 3" xfId="3316" xr:uid="{00000000-0005-0000-0000-0000EB0C0000}"/>
    <cellStyle name="20% - Accent4 2 2 4 5" xfId="3317" xr:uid="{00000000-0005-0000-0000-0000EC0C0000}"/>
    <cellStyle name="20% - Accent4 2 2 4 5 2" xfId="3318" xr:uid="{00000000-0005-0000-0000-0000ED0C0000}"/>
    <cellStyle name="20% - Accent4 2 2 4 6" xfId="3319" xr:uid="{00000000-0005-0000-0000-0000EE0C0000}"/>
    <cellStyle name="20% - Accent4 2 2 5" xfId="3320" xr:uid="{00000000-0005-0000-0000-0000EF0C0000}"/>
    <cellStyle name="20% - Accent4 2 2 5 2" xfId="3321" xr:uid="{00000000-0005-0000-0000-0000F00C0000}"/>
    <cellStyle name="20% - Accent4 2 2 5 2 2" xfId="3322" xr:uid="{00000000-0005-0000-0000-0000F10C0000}"/>
    <cellStyle name="20% - Accent4 2 2 5 2 2 2" xfId="3323" xr:uid="{00000000-0005-0000-0000-0000F20C0000}"/>
    <cellStyle name="20% - Accent4 2 2 5 2 2 2 2" xfId="3324" xr:uid="{00000000-0005-0000-0000-0000F30C0000}"/>
    <cellStyle name="20% - Accent4 2 2 5 2 2 3" xfId="3325" xr:uid="{00000000-0005-0000-0000-0000F40C0000}"/>
    <cellStyle name="20% - Accent4 2 2 5 2 3" xfId="3326" xr:uid="{00000000-0005-0000-0000-0000F50C0000}"/>
    <cellStyle name="20% - Accent4 2 2 5 2 3 2" xfId="3327" xr:uid="{00000000-0005-0000-0000-0000F60C0000}"/>
    <cellStyle name="20% - Accent4 2 2 5 2 4" xfId="3328" xr:uid="{00000000-0005-0000-0000-0000F70C0000}"/>
    <cellStyle name="20% - Accent4 2 2 5 3" xfId="3329" xr:uid="{00000000-0005-0000-0000-0000F80C0000}"/>
    <cellStyle name="20% - Accent4 2 2 5 3 2" xfId="3330" xr:uid="{00000000-0005-0000-0000-0000F90C0000}"/>
    <cellStyle name="20% - Accent4 2 2 5 3 2 2" xfId="3331" xr:uid="{00000000-0005-0000-0000-0000FA0C0000}"/>
    <cellStyle name="20% - Accent4 2 2 5 3 3" xfId="3332" xr:uid="{00000000-0005-0000-0000-0000FB0C0000}"/>
    <cellStyle name="20% - Accent4 2 2 5 4" xfId="3333" xr:uid="{00000000-0005-0000-0000-0000FC0C0000}"/>
    <cellStyle name="20% - Accent4 2 2 5 4 2" xfId="3334" xr:uid="{00000000-0005-0000-0000-0000FD0C0000}"/>
    <cellStyle name="20% - Accent4 2 2 5 5" xfId="3335" xr:uid="{00000000-0005-0000-0000-0000FE0C0000}"/>
    <cellStyle name="20% - Accent4 2 2 6" xfId="3336" xr:uid="{00000000-0005-0000-0000-0000FF0C0000}"/>
    <cellStyle name="20% - Accent4 2 2 6 2" xfId="3337" xr:uid="{00000000-0005-0000-0000-0000000D0000}"/>
    <cellStyle name="20% - Accent4 2 2 6 2 2" xfId="3338" xr:uid="{00000000-0005-0000-0000-0000010D0000}"/>
    <cellStyle name="20% - Accent4 2 2 6 2 2 2" xfId="3339" xr:uid="{00000000-0005-0000-0000-0000020D0000}"/>
    <cellStyle name="20% - Accent4 2 2 6 2 3" xfId="3340" xr:uid="{00000000-0005-0000-0000-0000030D0000}"/>
    <cellStyle name="20% - Accent4 2 2 6 3" xfId="3341" xr:uid="{00000000-0005-0000-0000-0000040D0000}"/>
    <cellStyle name="20% - Accent4 2 2 6 3 2" xfId="3342" xr:uid="{00000000-0005-0000-0000-0000050D0000}"/>
    <cellStyle name="20% - Accent4 2 2 6 4" xfId="3343" xr:uid="{00000000-0005-0000-0000-0000060D0000}"/>
    <cellStyle name="20% - Accent4 2 2 7" xfId="3344" xr:uid="{00000000-0005-0000-0000-0000070D0000}"/>
    <cellStyle name="20% - Accent4 2 2 7 2" xfId="3345" xr:uid="{00000000-0005-0000-0000-0000080D0000}"/>
    <cellStyle name="20% - Accent4 2 2 7 2 2" xfId="3346" xr:uid="{00000000-0005-0000-0000-0000090D0000}"/>
    <cellStyle name="20% - Accent4 2 2 7 3" xfId="3347" xr:uid="{00000000-0005-0000-0000-00000A0D0000}"/>
    <cellStyle name="20% - Accent4 2 2 8" xfId="3348" xr:uid="{00000000-0005-0000-0000-00000B0D0000}"/>
    <cellStyle name="20% - Accent4 2 2 8 2" xfId="3349" xr:uid="{00000000-0005-0000-0000-00000C0D0000}"/>
    <cellStyle name="20% - Accent4 2 2 9" xfId="3350" xr:uid="{00000000-0005-0000-0000-00000D0D0000}"/>
    <cellStyle name="20% - Accent4 2 3" xfId="3351" xr:uid="{00000000-0005-0000-0000-00000E0D0000}"/>
    <cellStyle name="20% - Accent4 2 3 2" xfId="3352" xr:uid="{00000000-0005-0000-0000-00000F0D0000}"/>
    <cellStyle name="20% - Accent4 2 3 2 2" xfId="3353" xr:uid="{00000000-0005-0000-0000-0000100D0000}"/>
    <cellStyle name="20% - Accent4 2 3 2 2 2" xfId="3354" xr:uid="{00000000-0005-0000-0000-0000110D0000}"/>
    <cellStyle name="20% - Accent4 2 3 2 2 2 2" xfId="3355" xr:uid="{00000000-0005-0000-0000-0000120D0000}"/>
    <cellStyle name="20% - Accent4 2 3 2 2 2 2 2" xfId="3356" xr:uid="{00000000-0005-0000-0000-0000130D0000}"/>
    <cellStyle name="20% - Accent4 2 3 2 2 2 2 2 2" xfId="3357" xr:uid="{00000000-0005-0000-0000-0000140D0000}"/>
    <cellStyle name="20% - Accent4 2 3 2 2 2 2 2 2 2" xfId="3358" xr:uid="{00000000-0005-0000-0000-0000150D0000}"/>
    <cellStyle name="20% - Accent4 2 3 2 2 2 2 2 3" xfId="3359" xr:uid="{00000000-0005-0000-0000-0000160D0000}"/>
    <cellStyle name="20% - Accent4 2 3 2 2 2 2 3" xfId="3360" xr:uid="{00000000-0005-0000-0000-0000170D0000}"/>
    <cellStyle name="20% - Accent4 2 3 2 2 2 2 3 2" xfId="3361" xr:uid="{00000000-0005-0000-0000-0000180D0000}"/>
    <cellStyle name="20% - Accent4 2 3 2 2 2 2 4" xfId="3362" xr:uid="{00000000-0005-0000-0000-0000190D0000}"/>
    <cellStyle name="20% - Accent4 2 3 2 2 2 3" xfId="3363" xr:uid="{00000000-0005-0000-0000-00001A0D0000}"/>
    <cellStyle name="20% - Accent4 2 3 2 2 2 3 2" xfId="3364" xr:uid="{00000000-0005-0000-0000-00001B0D0000}"/>
    <cellStyle name="20% - Accent4 2 3 2 2 2 3 2 2" xfId="3365" xr:uid="{00000000-0005-0000-0000-00001C0D0000}"/>
    <cellStyle name="20% - Accent4 2 3 2 2 2 3 3" xfId="3366" xr:uid="{00000000-0005-0000-0000-00001D0D0000}"/>
    <cellStyle name="20% - Accent4 2 3 2 2 2 4" xfId="3367" xr:uid="{00000000-0005-0000-0000-00001E0D0000}"/>
    <cellStyle name="20% - Accent4 2 3 2 2 2 4 2" xfId="3368" xr:uid="{00000000-0005-0000-0000-00001F0D0000}"/>
    <cellStyle name="20% - Accent4 2 3 2 2 2 5" xfId="3369" xr:uid="{00000000-0005-0000-0000-0000200D0000}"/>
    <cellStyle name="20% - Accent4 2 3 2 2 3" xfId="3370" xr:uid="{00000000-0005-0000-0000-0000210D0000}"/>
    <cellStyle name="20% - Accent4 2 3 2 2 3 2" xfId="3371" xr:uid="{00000000-0005-0000-0000-0000220D0000}"/>
    <cellStyle name="20% - Accent4 2 3 2 2 3 2 2" xfId="3372" xr:uid="{00000000-0005-0000-0000-0000230D0000}"/>
    <cellStyle name="20% - Accent4 2 3 2 2 3 2 2 2" xfId="3373" xr:uid="{00000000-0005-0000-0000-0000240D0000}"/>
    <cellStyle name="20% - Accent4 2 3 2 2 3 2 3" xfId="3374" xr:uid="{00000000-0005-0000-0000-0000250D0000}"/>
    <cellStyle name="20% - Accent4 2 3 2 2 3 3" xfId="3375" xr:uid="{00000000-0005-0000-0000-0000260D0000}"/>
    <cellStyle name="20% - Accent4 2 3 2 2 3 3 2" xfId="3376" xr:uid="{00000000-0005-0000-0000-0000270D0000}"/>
    <cellStyle name="20% - Accent4 2 3 2 2 3 4" xfId="3377" xr:uid="{00000000-0005-0000-0000-0000280D0000}"/>
    <cellStyle name="20% - Accent4 2 3 2 2 4" xfId="3378" xr:uid="{00000000-0005-0000-0000-0000290D0000}"/>
    <cellStyle name="20% - Accent4 2 3 2 2 4 2" xfId="3379" xr:uid="{00000000-0005-0000-0000-00002A0D0000}"/>
    <cellStyle name="20% - Accent4 2 3 2 2 4 2 2" xfId="3380" xr:uid="{00000000-0005-0000-0000-00002B0D0000}"/>
    <cellStyle name="20% - Accent4 2 3 2 2 4 3" xfId="3381" xr:uid="{00000000-0005-0000-0000-00002C0D0000}"/>
    <cellStyle name="20% - Accent4 2 3 2 2 5" xfId="3382" xr:uid="{00000000-0005-0000-0000-00002D0D0000}"/>
    <cellStyle name="20% - Accent4 2 3 2 2 5 2" xfId="3383" xr:uid="{00000000-0005-0000-0000-00002E0D0000}"/>
    <cellStyle name="20% - Accent4 2 3 2 2 6" xfId="3384" xr:uid="{00000000-0005-0000-0000-00002F0D0000}"/>
    <cellStyle name="20% - Accent4 2 3 2 3" xfId="3385" xr:uid="{00000000-0005-0000-0000-0000300D0000}"/>
    <cellStyle name="20% - Accent4 2 3 2 3 2" xfId="3386" xr:uid="{00000000-0005-0000-0000-0000310D0000}"/>
    <cellStyle name="20% - Accent4 2 3 2 3 2 2" xfId="3387" xr:uid="{00000000-0005-0000-0000-0000320D0000}"/>
    <cellStyle name="20% - Accent4 2 3 2 3 2 2 2" xfId="3388" xr:uid="{00000000-0005-0000-0000-0000330D0000}"/>
    <cellStyle name="20% - Accent4 2 3 2 3 2 2 2 2" xfId="3389" xr:uid="{00000000-0005-0000-0000-0000340D0000}"/>
    <cellStyle name="20% - Accent4 2 3 2 3 2 2 3" xfId="3390" xr:uid="{00000000-0005-0000-0000-0000350D0000}"/>
    <cellStyle name="20% - Accent4 2 3 2 3 2 3" xfId="3391" xr:uid="{00000000-0005-0000-0000-0000360D0000}"/>
    <cellStyle name="20% - Accent4 2 3 2 3 2 3 2" xfId="3392" xr:uid="{00000000-0005-0000-0000-0000370D0000}"/>
    <cellStyle name="20% - Accent4 2 3 2 3 2 4" xfId="3393" xr:uid="{00000000-0005-0000-0000-0000380D0000}"/>
    <cellStyle name="20% - Accent4 2 3 2 3 3" xfId="3394" xr:uid="{00000000-0005-0000-0000-0000390D0000}"/>
    <cellStyle name="20% - Accent4 2 3 2 3 3 2" xfId="3395" xr:uid="{00000000-0005-0000-0000-00003A0D0000}"/>
    <cellStyle name="20% - Accent4 2 3 2 3 3 2 2" xfId="3396" xr:uid="{00000000-0005-0000-0000-00003B0D0000}"/>
    <cellStyle name="20% - Accent4 2 3 2 3 3 3" xfId="3397" xr:uid="{00000000-0005-0000-0000-00003C0D0000}"/>
    <cellStyle name="20% - Accent4 2 3 2 3 4" xfId="3398" xr:uid="{00000000-0005-0000-0000-00003D0D0000}"/>
    <cellStyle name="20% - Accent4 2 3 2 3 4 2" xfId="3399" xr:uid="{00000000-0005-0000-0000-00003E0D0000}"/>
    <cellStyle name="20% - Accent4 2 3 2 3 5" xfId="3400" xr:uid="{00000000-0005-0000-0000-00003F0D0000}"/>
    <cellStyle name="20% - Accent4 2 3 2 4" xfId="3401" xr:uid="{00000000-0005-0000-0000-0000400D0000}"/>
    <cellStyle name="20% - Accent4 2 3 2 4 2" xfId="3402" xr:uid="{00000000-0005-0000-0000-0000410D0000}"/>
    <cellStyle name="20% - Accent4 2 3 2 4 2 2" xfId="3403" xr:uid="{00000000-0005-0000-0000-0000420D0000}"/>
    <cellStyle name="20% - Accent4 2 3 2 4 2 2 2" xfId="3404" xr:uid="{00000000-0005-0000-0000-0000430D0000}"/>
    <cellStyle name="20% - Accent4 2 3 2 4 2 3" xfId="3405" xr:uid="{00000000-0005-0000-0000-0000440D0000}"/>
    <cellStyle name="20% - Accent4 2 3 2 4 3" xfId="3406" xr:uid="{00000000-0005-0000-0000-0000450D0000}"/>
    <cellStyle name="20% - Accent4 2 3 2 4 3 2" xfId="3407" xr:uid="{00000000-0005-0000-0000-0000460D0000}"/>
    <cellStyle name="20% - Accent4 2 3 2 4 4" xfId="3408" xr:uid="{00000000-0005-0000-0000-0000470D0000}"/>
    <cellStyle name="20% - Accent4 2 3 2 5" xfId="3409" xr:uid="{00000000-0005-0000-0000-0000480D0000}"/>
    <cellStyle name="20% - Accent4 2 3 2 5 2" xfId="3410" xr:uid="{00000000-0005-0000-0000-0000490D0000}"/>
    <cellStyle name="20% - Accent4 2 3 2 5 2 2" xfId="3411" xr:uid="{00000000-0005-0000-0000-00004A0D0000}"/>
    <cellStyle name="20% - Accent4 2 3 2 5 3" xfId="3412" xr:uid="{00000000-0005-0000-0000-00004B0D0000}"/>
    <cellStyle name="20% - Accent4 2 3 2 6" xfId="3413" xr:uid="{00000000-0005-0000-0000-00004C0D0000}"/>
    <cellStyle name="20% - Accent4 2 3 2 6 2" xfId="3414" xr:uid="{00000000-0005-0000-0000-00004D0D0000}"/>
    <cellStyle name="20% - Accent4 2 3 2 7" xfId="3415" xr:uid="{00000000-0005-0000-0000-00004E0D0000}"/>
    <cellStyle name="20% - Accent4 2 3 3" xfId="3416" xr:uid="{00000000-0005-0000-0000-00004F0D0000}"/>
    <cellStyle name="20% - Accent4 2 3 3 2" xfId="3417" xr:uid="{00000000-0005-0000-0000-0000500D0000}"/>
    <cellStyle name="20% - Accent4 2 3 3 2 2" xfId="3418" xr:uid="{00000000-0005-0000-0000-0000510D0000}"/>
    <cellStyle name="20% - Accent4 2 3 3 2 2 2" xfId="3419" xr:uid="{00000000-0005-0000-0000-0000520D0000}"/>
    <cellStyle name="20% - Accent4 2 3 3 2 2 2 2" xfId="3420" xr:uid="{00000000-0005-0000-0000-0000530D0000}"/>
    <cellStyle name="20% - Accent4 2 3 3 2 2 2 2 2" xfId="3421" xr:uid="{00000000-0005-0000-0000-0000540D0000}"/>
    <cellStyle name="20% - Accent4 2 3 3 2 2 2 3" xfId="3422" xr:uid="{00000000-0005-0000-0000-0000550D0000}"/>
    <cellStyle name="20% - Accent4 2 3 3 2 2 3" xfId="3423" xr:uid="{00000000-0005-0000-0000-0000560D0000}"/>
    <cellStyle name="20% - Accent4 2 3 3 2 2 3 2" xfId="3424" xr:uid="{00000000-0005-0000-0000-0000570D0000}"/>
    <cellStyle name="20% - Accent4 2 3 3 2 2 4" xfId="3425" xr:uid="{00000000-0005-0000-0000-0000580D0000}"/>
    <cellStyle name="20% - Accent4 2 3 3 2 3" xfId="3426" xr:uid="{00000000-0005-0000-0000-0000590D0000}"/>
    <cellStyle name="20% - Accent4 2 3 3 2 3 2" xfId="3427" xr:uid="{00000000-0005-0000-0000-00005A0D0000}"/>
    <cellStyle name="20% - Accent4 2 3 3 2 3 2 2" xfId="3428" xr:uid="{00000000-0005-0000-0000-00005B0D0000}"/>
    <cellStyle name="20% - Accent4 2 3 3 2 3 3" xfId="3429" xr:uid="{00000000-0005-0000-0000-00005C0D0000}"/>
    <cellStyle name="20% - Accent4 2 3 3 2 4" xfId="3430" xr:uid="{00000000-0005-0000-0000-00005D0D0000}"/>
    <cellStyle name="20% - Accent4 2 3 3 2 4 2" xfId="3431" xr:uid="{00000000-0005-0000-0000-00005E0D0000}"/>
    <cellStyle name="20% - Accent4 2 3 3 2 5" xfId="3432" xr:uid="{00000000-0005-0000-0000-00005F0D0000}"/>
    <cellStyle name="20% - Accent4 2 3 3 3" xfId="3433" xr:uid="{00000000-0005-0000-0000-0000600D0000}"/>
    <cellStyle name="20% - Accent4 2 3 3 3 2" xfId="3434" xr:uid="{00000000-0005-0000-0000-0000610D0000}"/>
    <cellStyle name="20% - Accent4 2 3 3 3 2 2" xfId="3435" xr:uid="{00000000-0005-0000-0000-0000620D0000}"/>
    <cellStyle name="20% - Accent4 2 3 3 3 2 2 2" xfId="3436" xr:uid="{00000000-0005-0000-0000-0000630D0000}"/>
    <cellStyle name="20% - Accent4 2 3 3 3 2 3" xfId="3437" xr:uid="{00000000-0005-0000-0000-0000640D0000}"/>
    <cellStyle name="20% - Accent4 2 3 3 3 3" xfId="3438" xr:uid="{00000000-0005-0000-0000-0000650D0000}"/>
    <cellStyle name="20% - Accent4 2 3 3 3 3 2" xfId="3439" xr:uid="{00000000-0005-0000-0000-0000660D0000}"/>
    <cellStyle name="20% - Accent4 2 3 3 3 4" xfId="3440" xr:uid="{00000000-0005-0000-0000-0000670D0000}"/>
    <cellStyle name="20% - Accent4 2 3 3 4" xfId="3441" xr:uid="{00000000-0005-0000-0000-0000680D0000}"/>
    <cellStyle name="20% - Accent4 2 3 3 4 2" xfId="3442" xr:uid="{00000000-0005-0000-0000-0000690D0000}"/>
    <cellStyle name="20% - Accent4 2 3 3 4 2 2" xfId="3443" xr:uid="{00000000-0005-0000-0000-00006A0D0000}"/>
    <cellStyle name="20% - Accent4 2 3 3 4 3" xfId="3444" xr:uid="{00000000-0005-0000-0000-00006B0D0000}"/>
    <cellStyle name="20% - Accent4 2 3 3 5" xfId="3445" xr:uid="{00000000-0005-0000-0000-00006C0D0000}"/>
    <cellStyle name="20% - Accent4 2 3 3 5 2" xfId="3446" xr:uid="{00000000-0005-0000-0000-00006D0D0000}"/>
    <cellStyle name="20% - Accent4 2 3 3 6" xfId="3447" xr:uid="{00000000-0005-0000-0000-00006E0D0000}"/>
    <cellStyle name="20% - Accent4 2 3 4" xfId="3448" xr:uid="{00000000-0005-0000-0000-00006F0D0000}"/>
    <cellStyle name="20% - Accent4 2 3 4 2" xfId="3449" xr:uid="{00000000-0005-0000-0000-0000700D0000}"/>
    <cellStyle name="20% - Accent4 2 3 4 2 2" xfId="3450" xr:uid="{00000000-0005-0000-0000-0000710D0000}"/>
    <cellStyle name="20% - Accent4 2 3 4 2 2 2" xfId="3451" xr:uid="{00000000-0005-0000-0000-0000720D0000}"/>
    <cellStyle name="20% - Accent4 2 3 4 2 2 2 2" xfId="3452" xr:uid="{00000000-0005-0000-0000-0000730D0000}"/>
    <cellStyle name="20% - Accent4 2 3 4 2 2 3" xfId="3453" xr:uid="{00000000-0005-0000-0000-0000740D0000}"/>
    <cellStyle name="20% - Accent4 2 3 4 2 3" xfId="3454" xr:uid="{00000000-0005-0000-0000-0000750D0000}"/>
    <cellStyle name="20% - Accent4 2 3 4 2 3 2" xfId="3455" xr:uid="{00000000-0005-0000-0000-0000760D0000}"/>
    <cellStyle name="20% - Accent4 2 3 4 2 4" xfId="3456" xr:uid="{00000000-0005-0000-0000-0000770D0000}"/>
    <cellStyle name="20% - Accent4 2 3 4 3" xfId="3457" xr:uid="{00000000-0005-0000-0000-0000780D0000}"/>
    <cellStyle name="20% - Accent4 2 3 4 3 2" xfId="3458" xr:uid="{00000000-0005-0000-0000-0000790D0000}"/>
    <cellStyle name="20% - Accent4 2 3 4 3 2 2" xfId="3459" xr:uid="{00000000-0005-0000-0000-00007A0D0000}"/>
    <cellStyle name="20% - Accent4 2 3 4 3 3" xfId="3460" xr:uid="{00000000-0005-0000-0000-00007B0D0000}"/>
    <cellStyle name="20% - Accent4 2 3 4 4" xfId="3461" xr:uid="{00000000-0005-0000-0000-00007C0D0000}"/>
    <cellStyle name="20% - Accent4 2 3 4 4 2" xfId="3462" xr:uid="{00000000-0005-0000-0000-00007D0D0000}"/>
    <cellStyle name="20% - Accent4 2 3 4 5" xfId="3463" xr:uid="{00000000-0005-0000-0000-00007E0D0000}"/>
    <cellStyle name="20% - Accent4 2 3 5" xfId="3464" xr:uid="{00000000-0005-0000-0000-00007F0D0000}"/>
    <cellStyle name="20% - Accent4 2 3 5 2" xfId="3465" xr:uid="{00000000-0005-0000-0000-0000800D0000}"/>
    <cellStyle name="20% - Accent4 2 3 5 2 2" xfId="3466" xr:uid="{00000000-0005-0000-0000-0000810D0000}"/>
    <cellStyle name="20% - Accent4 2 3 5 2 2 2" xfId="3467" xr:uid="{00000000-0005-0000-0000-0000820D0000}"/>
    <cellStyle name="20% - Accent4 2 3 5 2 3" xfId="3468" xr:uid="{00000000-0005-0000-0000-0000830D0000}"/>
    <cellStyle name="20% - Accent4 2 3 5 3" xfId="3469" xr:uid="{00000000-0005-0000-0000-0000840D0000}"/>
    <cellStyle name="20% - Accent4 2 3 5 3 2" xfId="3470" xr:uid="{00000000-0005-0000-0000-0000850D0000}"/>
    <cellStyle name="20% - Accent4 2 3 5 4" xfId="3471" xr:uid="{00000000-0005-0000-0000-0000860D0000}"/>
    <cellStyle name="20% - Accent4 2 3 6" xfId="3472" xr:uid="{00000000-0005-0000-0000-0000870D0000}"/>
    <cellStyle name="20% - Accent4 2 3 6 2" xfId="3473" xr:uid="{00000000-0005-0000-0000-0000880D0000}"/>
    <cellStyle name="20% - Accent4 2 3 6 2 2" xfId="3474" xr:uid="{00000000-0005-0000-0000-0000890D0000}"/>
    <cellStyle name="20% - Accent4 2 3 6 3" xfId="3475" xr:uid="{00000000-0005-0000-0000-00008A0D0000}"/>
    <cellStyle name="20% - Accent4 2 3 7" xfId="3476" xr:uid="{00000000-0005-0000-0000-00008B0D0000}"/>
    <cellStyle name="20% - Accent4 2 3 7 2" xfId="3477" xr:uid="{00000000-0005-0000-0000-00008C0D0000}"/>
    <cellStyle name="20% - Accent4 2 3 8" xfId="3478" xr:uid="{00000000-0005-0000-0000-00008D0D0000}"/>
    <cellStyle name="20% - Accent4 2 4" xfId="3479" xr:uid="{00000000-0005-0000-0000-00008E0D0000}"/>
    <cellStyle name="20% - Accent4 2 4 2" xfId="3480" xr:uid="{00000000-0005-0000-0000-00008F0D0000}"/>
    <cellStyle name="20% - Accent4 2 4 2 2" xfId="3481" xr:uid="{00000000-0005-0000-0000-0000900D0000}"/>
    <cellStyle name="20% - Accent4 2 4 2 2 2" xfId="3482" xr:uid="{00000000-0005-0000-0000-0000910D0000}"/>
    <cellStyle name="20% - Accent4 2 4 2 2 2 2" xfId="3483" xr:uid="{00000000-0005-0000-0000-0000920D0000}"/>
    <cellStyle name="20% - Accent4 2 4 2 2 2 2 2" xfId="3484" xr:uid="{00000000-0005-0000-0000-0000930D0000}"/>
    <cellStyle name="20% - Accent4 2 4 2 2 2 2 2 2" xfId="3485" xr:uid="{00000000-0005-0000-0000-0000940D0000}"/>
    <cellStyle name="20% - Accent4 2 4 2 2 2 2 3" xfId="3486" xr:uid="{00000000-0005-0000-0000-0000950D0000}"/>
    <cellStyle name="20% - Accent4 2 4 2 2 2 3" xfId="3487" xr:uid="{00000000-0005-0000-0000-0000960D0000}"/>
    <cellStyle name="20% - Accent4 2 4 2 2 2 3 2" xfId="3488" xr:uid="{00000000-0005-0000-0000-0000970D0000}"/>
    <cellStyle name="20% - Accent4 2 4 2 2 2 4" xfId="3489" xr:uid="{00000000-0005-0000-0000-0000980D0000}"/>
    <cellStyle name="20% - Accent4 2 4 2 2 3" xfId="3490" xr:uid="{00000000-0005-0000-0000-0000990D0000}"/>
    <cellStyle name="20% - Accent4 2 4 2 2 3 2" xfId="3491" xr:uid="{00000000-0005-0000-0000-00009A0D0000}"/>
    <cellStyle name="20% - Accent4 2 4 2 2 3 2 2" xfId="3492" xr:uid="{00000000-0005-0000-0000-00009B0D0000}"/>
    <cellStyle name="20% - Accent4 2 4 2 2 3 3" xfId="3493" xr:uid="{00000000-0005-0000-0000-00009C0D0000}"/>
    <cellStyle name="20% - Accent4 2 4 2 2 4" xfId="3494" xr:uid="{00000000-0005-0000-0000-00009D0D0000}"/>
    <cellStyle name="20% - Accent4 2 4 2 2 4 2" xfId="3495" xr:uid="{00000000-0005-0000-0000-00009E0D0000}"/>
    <cellStyle name="20% - Accent4 2 4 2 2 5" xfId="3496" xr:uid="{00000000-0005-0000-0000-00009F0D0000}"/>
    <cellStyle name="20% - Accent4 2 4 2 3" xfId="3497" xr:uid="{00000000-0005-0000-0000-0000A00D0000}"/>
    <cellStyle name="20% - Accent4 2 4 2 3 2" xfId="3498" xr:uid="{00000000-0005-0000-0000-0000A10D0000}"/>
    <cellStyle name="20% - Accent4 2 4 2 3 2 2" xfId="3499" xr:uid="{00000000-0005-0000-0000-0000A20D0000}"/>
    <cellStyle name="20% - Accent4 2 4 2 3 2 2 2" xfId="3500" xr:uid="{00000000-0005-0000-0000-0000A30D0000}"/>
    <cellStyle name="20% - Accent4 2 4 2 3 2 3" xfId="3501" xr:uid="{00000000-0005-0000-0000-0000A40D0000}"/>
    <cellStyle name="20% - Accent4 2 4 2 3 3" xfId="3502" xr:uid="{00000000-0005-0000-0000-0000A50D0000}"/>
    <cellStyle name="20% - Accent4 2 4 2 3 3 2" xfId="3503" xr:uid="{00000000-0005-0000-0000-0000A60D0000}"/>
    <cellStyle name="20% - Accent4 2 4 2 3 4" xfId="3504" xr:uid="{00000000-0005-0000-0000-0000A70D0000}"/>
    <cellStyle name="20% - Accent4 2 4 2 4" xfId="3505" xr:uid="{00000000-0005-0000-0000-0000A80D0000}"/>
    <cellStyle name="20% - Accent4 2 4 2 4 2" xfId="3506" xr:uid="{00000000-0005-0000-0000-0000A90D0000}"/>
    <cellStyle name="20% - Accent4 2 4 2 4 2 2" xfId="3507" xr:uid="{00000000-0005-0000-0000-0000AA0D0000}"/>
    <cellStyle name="20% - Accent4 2 4 2 4 3" xfId="3508" xr:uid="{00000000-0005-0000-0000-0000AB0D0000}"/>
    <cellStyle name="20% - Accent4 2 4 2 5" xfId="3509" xr:uid="{00000000-0005-0000-0000-0000AC0D0000}"/>
    <cellStyle name="20% - Accent4 2 4 2 5 2" xfId="3510" xr:uid="{00000000-0005-0000-0000-0000AD0D0000}"/>
    <cellStyle name="20% - Accent4 2 4 2 6" xfId="3511" xr:uid="{00000000-0005-0000-0000-0000AE0D0000}"/>
    <cellStyle name="20% - Accent4 2 4 3" xfId="3512" xr:uid="{00000000-0005-0000-0000-0000AF0D0000}"/>
    <cellStyle name="20% - Accent4 2 4 3 2" xfId="3513" xr:uid="{00000000-0005-0000-0000-0000B00D0000}"/>
    <cellStyle name="20% - Accent4 2 4 3 2 2" xfId="3514" xr:uid="{00000000-0005-0000-0000-0000B10D0000}"/>
    <cellStyle name="20% - Accent4 2 4 3 2 2 2" xfId="3515" xr:uid="{00000000-0005-0000-0000-0000B20D0000}"/>
    <cellStyle name="20% - Accent4 2 4 3 2 2 2 2" xfId="3516" xr:uid="{00000000-0005-0000-0000-0000B30D0000}"/>
    <cellStyle name="20% - Accent4 2 4 3 2 2 3" xfId="3517" xr:uid="{00000000-0005-0000-0000-0000B40D0000}"/>
    <cellStyle name="20% - Accent4 2 4 3 2 3" xfId="3518" xr:uid="{00000000-0005-0000-0000-0000B50D0000}"/>
    <cellStyle name="20% - Accent4 2 4 3 2 3 2" xfId="3519" xr:uid="{00000000-0005-0000-0000-0000B60D0000}"/>
    <cellStyle name="20% - Accent4 2 4 3 2 4" xfId="3520" xr:uid="{00000000-0005-0000-0000-0000B70D0000}"/>
    <cellStyle name="20% - Accent4 2 4 3 3" xfId="3521" xr:uid="{00000000-0005-0000-0000-0000B80D0000}"/>
    <cellStyle name="20% - Accent4 2 4 3 3 2" xfId="3522" xr:uid="{00000000-0005-0000-0000-0000B90D0000}"/>
    <cellStyle name="20% - Accent4 2 4 3 3 2 2" xfId="3523" xr:uid="{00000000-0005-0000-0000-0000BA0D0000}"/>
    <cellStyle name="20% - Accent4 2 4 3 3 3" xfId="3524" xr:uid="{00000000-0005-0000-0000-0000BB0D0000}"/>
    <cellStyle name="20% - Accent4 2 4 3 4" xfId="3525" xr:uid="{00000000-0005-0000-0000-0000BC0D0000}"/>
    <cellStyle name="20% - Accent4 2 4 3 4 2" xfId="3526" xr:uid="{00000000-0005-0000-0000-0000BD0D0000}"/>
    <cellStyle name="20% - Accent4 2 4 3 5" xfId="3527" xr:uid="{00000000-0005-0000-0000-0000BE0D0000}"/>
    <cellStyle name="20% - Accent4 2 4 4" xfId="3528" xr:uid="{00000000-0005-0000-0000-0000BF0D0000}"/>
    <cellStyle name="20% - Accent4 2 4 4 2" xfId="3529" xr:uid="{00000000-0005-0000-0000-0000C00D0000}"/>
    <cellStyle name="20% - Accent4 2 4 4 2 2" xfId="3530" xr:uid="{00000000-0005-0000-0000-0000C10D0000}"/>
    <cellStyle name="20% - Accent4 2 4 4 2 2 2" xfId="3531" xr:uid="{00000000-0005-0000-0000-0000C20D0000}"/>
    <cellStyle name="20% - Accent4 2 4 4 2 3" xfId="3532" xr:uid="{00000000-0005-0000-0000-0000C30D0000}"/>
    <cellStyle name="20% - Accent4 2 4 4 3" xfId="3533" xr:uid="{00000000-0005-0000-0000-0000C40D0000}"/>
    <cellStyle name="20% - Accent4 2 4 4 3 2" xfId="3534" xr:uid="{00000000-0005-0000-0000-0000C50D0000}"/>
    <cellStyle name="20% - Accent4 2 4 4 4" xfId="3535" xr:uid="{00000000-0005-0000-0000-0000C60D0000}"/>
    <cellStyle name="20% - Accent4 2 4 5" xfId="3536" xr:uid="{00000000-0005-0000-0000-0000C70D0000}"/>
    <cellStyle name="20% - Accent4 2 4 5 2" xfId="3537" xr:uid="{00000000-0005-0000-0000-0000C80D0000}"/>
    <cellStyle name="20% - Accent4 2 4 5 2 2" xfId="3538" xr:uid="{00000000-0005-0000-0000-0000C90D0000}"/>
    <cellStyle name="20% - Accent4 2 4 5 3" xfId="3539" xr:uid="{00000000-0005-0000-0000-0000CA0D0000}"/>
    <cellStyle name="20% - Accent4 2 4 6" xfId="3540" xr:uid="{00000000-0005-0000-0000-0000CB0D0000}"/>
    <cellStyle name="20% - Accent4 2 4 6 2" xfId="3541" xr:uid="{00000000-0005-0000-0000-0000CC0D0000}"/>
    <cellStyle name="20% - Accent4 2 4 7" xfId="3542" xr:uid="{00000000-0005-0000-0000-0000CD0D0000}"/>
    <cellStyle name="20% - Accent4 2 5" xfId="3543" xr:uid="{00000000-0005-0000-0000-0000CE0D0000}"/>
    <cellStyle name="20% - Accent4 2 5 2" xfId="3544" xr:uid="{00000000-0005-0000-0000-0000CF0D0000}"/>
    <cellStyle name="20% - Accent4 2 5 2 2" xfId="3545" xr:uid="{00000000-0005-0000-0000-0000D00D0000}"/>
    <cellStyle name="20% - Accent4 2 5 2 2 2" xfId="3546" xr:uid="{00000000-0005-0000-0000-0000D10D0000}"/>
    <cellStyle name="20% - Accent4 2 5 2 2 2 2" xfId="3547" xr:uid="{00000000-0005-0000-0000-0000D20D0000}"/>
    <cellStyle name="20% - Accent4 2 5 2 2 2 2 2" xfId="3548" xr:uid="{00000000-0005-0000-0000-0000D30D0000}"/>
    <cellStyle name="20% - Accent4 2 5 2 2 2 3" xfId="3549" xr:uid="{00000000-0005-0000-0000-0000D40D0000}"/>
    <cellStyle name="20% - Accent4 2 5 2 2 3" xfId="3550" xr:uid="{00000000-0005-0000-0000-0000D50D0000}"/>
    <cellStyle name="20% - Accent4 2 5 2 2 3 2" xfId="3551" xr:uid="{00000000-0005-0000-0000-0000D60D0000}"/>
    <cellStyle name="20% - Accent4 2 5 2 2 4" xfId="3552" xr:uid="{00000000-0005-0000-0000-0000D70D0000}"/>
    <cellStyle name="20% - Accent4 2 5 2 3" xfId="3553" xr:uid="{00000000-0005-0000-0000-0000D80D0000}"/>
    <cellStyle name="20% - Accent4 2 5 2 3 2" xfId="3554" xr:uid="{00000000-0005-0000-0000-0000D90D0000}"/>
    <cellStyle name="20% - Accent4 2 5 2 3 2 2" xfId="3555" xr:uid="{00000000-0005-0000-0000-0000DA0D0000}"/>
    <cellStyle name="20% - Accent4 2 5 2 3 3" xfId="3556" xr:uid="{00000000-0005-0000-0000-0000DB0D0000}"/>
    <cellStyle name="20% - Accent4 2 5 2 4" xfId="3557" xr:uid="{00000000-0005-0000-0000-0000DC0D0000}"/>
    <cellStyle name="20% - Accent4 2 5 2 4 2" xfId="3558" xr:uid="{00000000-0005-0000-0000-0000DD0D0000}"/>
    <cellStyle name="20% - Accent4 2 5 2 5" xfId="3559" xr:uid="{00000000-0005-0000-0000-0000DE0D0000}"/>
    <cellStyle name="20% - Accent4 2 5 3" xfId="3560" xr:uid="{00000000-0005-0000-0000-0000DF0D0000}"/>
    <cellStyle name="20% - Accent4 2 5 3 2" xfId="3561" xr:uid="{00000000-0005-0000-0000-0000E00D0000}"/>
    <cellStyle name="20% - Accent4 2 5 3 2 2" xfId="3562" xr:uid="{00000000-0005-0000-0000-0000E10D0000}"/>
    <cellStyle name="20% - Accent4 2 5 3 2 2 2" xfId="3563" xr:uid="{00000000-0005-0000-0000-0000E20D0000}"/>
    <cellStyle name="20% - Accent4 2 5 3 2 3" xfId="3564" xr:uid="{00000000-0005-0000-0000-0000E30D0000}"/>
    <cellStyle name="20% - Accent4 2 5 3 3" xfId="3565" xr:uid="{00000000-0005-0000-0000-0000E40D0000}"/>
    <cellStyle name="20% - Accent4 2 5 3 3 2" xfId="3566" xr:uid="{00000000-0005-0000-0000-0000E50D0000}"/>
    <cellStyle name="20% - Accent4 2 5 3 4" xfId="3567" xr:uid="{00000000-0005-0000-0000-0000E60D0000}"/>
    <cellStyle name="20% - Accent4 2 5 4" xfId="3568" xr:uid="{00000000-0005-0000-0000-0000E70D0000}"/>
    <cellStyle name="20% - Accent4 2 5 4 2" xfId="3569" xr:uid="{00000000-0005-0000-0000-0000E80D0000}"/>
    <cellStyle name="20% - Accent4 2 5 4 2 2" xfId="3570" xr:uid="{00000000-0005-0000-0000-0000E90D0000}"/>
    <cellStyle name="20% - Accent4 2 5 4 3" xfId="3571" xr:uid="{00000000-0005-0000-0000-0000EA0D0000}"/>
    <cellStyle name="20% - Accent4 2 5 5" xfId="3572" xr:uid="{00000000-0005-0000-0000-0000EB0D0000}"/>
    <cellStyle name="20% - Accent4 2 5 5 2" xfId="3573" xr:uid="{00000000-0005-0000-0000-0000EC0D0000}"/>
    <cellStyle name="20% - Accent4 2 5 6" xfId="3574" xr:uid="{00000000-0005-0000-0000-0000ED0D0000}"/>
    <cellStyle name="20% - Accent4 2 6" xfId="3575" xr:uid="{00000000-0005-0000-0000-0000EE0D0000}"/>
    <cellStyle name="20% - Accent4 2 6 2" xfId="3576" xr:uid="{00000000-0005-0000-0000-0000EF0D0000}"/>
    <cellStyle name="20% - Accent4 2 6 2 2" xfId="3577" xr:uid="{00000000-0005-0000-0000-0000F00D0000}"/>
    <cellStyle name="20% - Accent4 2 6 2 2 2" xfId="3578" xr:uid="{00000000-0005-0000-0000-0000F10D0000}"/>
    <cellStyle name="20% - Accent4 2 6 2 2 2 2" xfId="3579" xr:uid="{00000000-0005-0000-0000-0000F20D0000}"/>
    <cellStyle name="20% - Accent4 2 6 2 2 3" xfId="3580" xr:uid="{00000000-0005-0000-0000-0000F30D0000}"/>
    <cellStyle name="20% - Accent4 2 6 2 3" xfId="3581" xr:uid="{00000000-0005-0000-0000-0000F40D0000}"/>
    <cellStyle name="20% - Accent4 2 6 2 3 2" xfId="3582" xr:uid="{00000000-0005-0000-0000-0000F50D0000}"/>
    <cellStyle name="20% - Accent4 2 6 2 4" xfId="3583" xr:uid="{00000000-0005-0000-0000-0000F60D0000}"/>
    <cellStyle name="20% - Accent4 2 6 3" xfId="3584" xr:uid="{00000000-0005-0000-0000-0000F70D0000}"/>
    <cellStyle name="20% - Accent4 2 6 3 2" xfId="3585" xr:uid="{00000000-0005-0000-0000-0000F80D0000}"/>
    <cellStyle name="20% - Accent4 2 6 3 2 2" xfId="3586" xr:uid="{00000000-0005-0000-0000-0000F90D0000}"/>
    <cellStyle name="20% - Accent4 2 6 3 3" xfId="3587" xr:uid="{00000000-0005-0000-0000-0000FA0D0000}"/>
    <cellStyle name="20% - Accent4 2 6 4" xfId="3588" xr:uid="{00000000-0005-0000-0000-0000FB0D0000}"/>
    <cellStyle name="20% - Accent4 2 6 4 2" xfId="3589" xr:uid="{00000000-0005-0000-0000-0000FC0D0000}"/>
    <cellStyle name="20% - Accent4 2 6 5" xfId="3590" xr:uid="{00000000-0005-0000-0000-0000FD0D0000}"/>
    <cellStyle name="20% - Accent4 2 7" xfId="3591" xr:uid="{00000000-0005-0000-0000-0000FE0D0000}"/>
    <cellStyle name="20% - Accent4 2 7 2" xfId="3592" xr:uid="{00000000-0005-0000-0000-0000FF0D0000}"/>
    <cellStyle name="20% - Accent4 2 7 2 2" xfId="3593" xr:uid="{00000000-0005-0000-0000-0000000E0000}"/>
    <cellStyle name="20% - Accent4 2 7 2 2 2" xfId="3594" xr:uid="{00000000-0005-0000-0000-0000010E0000}"/>
    <cellStyle name="20% - Accent4 2 7 2 3" xfId="3595" xr:uid="{00000000-0005-0000-0000-0000020E0000}"/>
    <cellStyle name="20% - Accent4 2 7 3" xfId="3596" xr:uid="{00000000-0005-0000-0000-0000030E0000}"/>
    <cellStyle name="20% - Accent4 2 7 3 2" xfId="3597" xr:uid="{00000000-0005-0000-0000-0000040E0000}"/>
    <cellStyle name="20% - Accent4 2 7 4" xfId="3598" xr:uid="{00000000-0005-0000-0000-0000050E0000}"/>
    <cellStyle name="20% - Accent4 2 8" xfId="3599" xr:uid="{00000000-0005-0000-0000-0000060E0000}"/>
    <cellStyle name="20% - Accent4 2 8 2" xfId="3600" xr:uid="{00000000-0005-0000-0000-0000070E0000}"/>
    <cellStyle name="20% - Accent4 2 8 2 2" xfId="3601" xr:uid="{00000000-0005-0000-0000-0000080E0000}"/>
    <cellStyle name="20% - Accent4 2 8 3" xfId="3602" xr:uid="{00000000-0005-0000-0000-0000090E0000}"/>
    <cellStyle name="20% - Accent4 2 9" xfId="3603" xr:uid="{00000000-0005-0000-0000-00000A0E0000}"/>
    <cellStyle name="20% - Accent4 2 9 2" xfId="3604" xr:uid="{00000000-0005-0000-0000-00000B0E0000}"/>
    <cellStyle name="20% - Accent4 3" xfId="3605" xr:uid="{00000000-0005-0000-0000-00000C0E0000}"/>
    <cellStyle name="20% - Accent4 3 2" xfId="3606" xr:uid="{00000000-0005-0000-0000-00000D0E0000}"/>
    <cellStyle name="20% - Accent4 3 2 2" xfId="3607" xr:uid="{00000000-0005-0000-0000-00000E0E0000}"/>
    <cellStyle name="20% - Accent4 3 2 2 2" xfId="3608" xr:uid="{00000000-0005-0000-0000-00000F0E0000}"/>
    <cellStyle name="20% - Accent4 3 2 2 2 2" xfId="3609" xr:uid="{00000000-0005-0000-0000-0000100E0000}"/>
    <cellStyle name="20% - Accent4 3 2 2 2 2 2" xfId="3610" xr:uid="{00000000-0005-0000-0000-0000110E0000}"/>
    <cellStyle name="20% - Accent4 3 2 2 2 2 2 2" xfId="3611" xr:uid="{00000000-0005-0000-0000-0000120E0000}"/>
    <cellStyle name="20% - Accent4 3 2 2 2 2 2 2 2" xfId="3612" xr:uid="{00000000-0005-0000-0000-0000130E0000}"/>
    <cellStyle name="20% - Accent4 3 2 2 2 2 2 2 2 2" xfId="3613" xr:uid="{00000000-0005-0000-0000-0000140E0000}"/>
    <cellStyle name="20% - Accent4 3 2 2 2 2 2 2 3" xfId="3614" xr:uid="{00000000-0005-0000-0000-0000150E0000}"/>
    <cellStyle name="20% - Accent4 3 2 2 2 2 2 3" xfId="3615" xr:uid="{00000000-0005-0000-0000-0000160E0000}"/>
    <cellStyle name="20% - Accent4 3 2 2 2 2 2 3 2" xfId="3616" xr:uid="{00000000-0005-0000-0000-0000170E0000}"/>
    <cellStyle name="20% - Accent4 3 2 2 2 2 2 4" xfId="3617" xr:uid="{00000000-0005-0000-0000-0000180E0000}"/>
    <cellStyle name="20% - Accent4 3 2 2 2 2 3" xfId="3618" xr:uid="{00000000-0005-0000-0000-0000190E0000}"/>
    <cellStyle name="20% - Accent4 3 2 2 2 2 3 2" xfId="3619" xr:uid="{00000000-0005-0000-0000-00001A0E0000}"/>
    <cellStyle name="20% - Accent4 3 2 2 2 2 3 2 2" xfId="3620" xr:uid="{00000000-0005-0000-0000-00001B0E0000}"/>
    <cellStyle name="20% - Accent4 3 2 2 2 2 3 3" xfId="3621" xr:uid="{00000000-0005-0000-0000-00001C0E0000}"/>
    <cellStyle name="20% - Accent4 3 2 2 2 2 4" xfId="3622" xr:uid="{00000000-0005-0000-0000-00001D0E0000}"/>
    <cellStyle name="20% - Accent4 3 2 2 2 2 4 2" xfId="3623" xr:uid="{00000000-0005-0000-0000-00001E0E0000}"/>
    <cellStyle name="20% - Accent4 3 2 2 2 2 5" xfId="3624" xr:uid="{00000000-0005-0000-0000-00001F0E0000}"/>
    <cellStyle name="20% - Accent4 3 2 2 2 3" xfId="3625" xr:uid="{00000000-0005-0000-0000-0000200E0000}"/>
    <cellStyle name="20% - Accent4 3 2 2 2 3 2" xfId="3626" xr:uid="{00000000-0005-0000-0000-0000210E0000}"/>
    <cellStyle name="20% - Accent4 3 2 2 2 3 2 2" xfId="3627" xr:uid="{00000000-0005-0000-0000-0000220E0000}"/>
    <cellStyle name="20% - Accent4 3 2 2 2 3 2 2 2" xfId="3628" xr:uid="{00000000-0005-0000-0000-0000230E0000}"/>
    <cellStyle name="20% - Accent4 3 2 2 2 3 2 3" xfId="3629" xr:uid="{00000000-0005-0000-0000-0000240E0000}"/>
    <cellStyle name="20% - Accent4 3 2 2 2 3 3" xfId="3630" xr:uid="{00000000-0005-0000-0000-0000250E0000}"/>
    <cellStyle name="20% - Accent4 3 2 2 2 3 3 2" xfId="3631" xr:uid="{00000000-0005-0000-0000-0000260E0000}"/>
    <cellStyle name="20% - Accent4 3 2 2 2 3 4" xfId="3632" xr:uid="{00000000-0005-0000-0000-0000270E0000}"/>
    <cellStyle name="20% - Accent4 3 2 2 2 4" xfId="3633" xr:uid="{00000000-0005-0000-0000-0000280E0000}"/>
    <cellStyle name="20% - Accent4 3 2 2 2 4 2" xfId="3634" xr:uid="{00000000-0005-0000-0000-0000290E0000}"/>
    <cellStyle name="20% - Accent4 3 2 2 2 4 2 2" xfId="3635" xr:uid="{00000000-0005-0000-0000-00002A0E0000}"/>
    <cellStyle name="20% - Accent4 3 2 2 2 4 3" xfId="3636" xr:uid="{00000000-0005-0000-0000-00002B0E0000}"/>
    <cellStyle name="20% - Accent4 3 2 2 2 5" xfId="3637" xr:uid="{00000000-0005-0000-0000-00002C0E0000}"/>
    <cellStyle name="20% - Accent4 3 2 2 2 5 2" xfId="3638" xr:uid="{00000000-0005-0000-0000-00002D0E0000}"/>
    <cellStyle name="20% - Accent4 3 2 2 2 6" xfId="3639" xr:uid="{00000000-0005-0000-0000-00002E0E0000}"/>
    <cellStyle name="20% - Accent4 3 2 2 3" xfId="3640" xr:uid="{00000000-0005-0000-0000-00002F0E0000}"/>
    <cellStyle name="20% - Accent4 3 2 2 3 2" xfId="3641" xr:uid="{00000000-0005-0000-0000-0000300E0000}"/>
    <cellStyle name="20% - Accent4 3 2 2 3 2 2" xfId="3642" xr:uid="{00000000-0005-0000-0000-0000310E0000}"/>
    <cellStyle name="20% - Accent4 3 2 2 3 2 2 2" xfId="3643" xr:uid="{00000000-0005-0000-0000-0000320E0000}"/>
    <cellStyle name="20% - Accent4 3 2 2 3 2 2 2 2" xfId="3644" xr:uid="{00000000-0005-0000-0000-0000330E0000}"/>
    <cellStyle name="20% - Accent4 3 2 2 3 2 2 3" xfId="3645" xr:uid="{00000000-0005-0000-0000-0000340E0000}"/>
    <cellStyle name="20% - Accent4 3 2 2 3 2 3" xfId="3646" xr:uid="{00000000-0005-0000-0000-0000350E0000}"/>
    <cellStyle name="20% - Accent4 3 2 2 3 2 3 2" xfId="3647" xr:uid="{00000000-0005-0000-0000-0000360E0000}"/>
    <cellStyle name="20% - Accent4 3 2 2 3 2 4" xfId="3648" xr:uid="{00000000-0005-0000-0000-0000370E0000}"/>
    <cellStyle name="20% - Accent4 3 2 2 3 3" xfId="3649" xr:uid="{00000000-0005-0000-0000-0000380E0000}"/>
    <cellStyle name="20% - Accent4 3 2 2 3 3 2" xfId="3650" xr:uid="{00000000-0005-0000-0000-0000390E0000}"/>
    <cellStyle name="20% - Accent4 3 2 2 3 3 2 2" xfId="3651" xr:uid="{00000000-0005-0000-0000-00003A0E0000}"/>
    <cellStyle name="20% - Accent4 3 2 2 3 3 3" xfId="3652" xr:uid="{00000000-0005-0000-0000-00003B0E0000}"/>
    <cellStyle name="20% - Accent4 3 2 2 3 4" xfId="3653" xr:uid="{00000000-0005-0000-0000-00003C0E0000}"/>
    <cellStyle name="20% - Accent4 3 2 2 3 4 2" xfId="3654" xr:uid="{00000000-0005-0000-0000-00003D0E0000}"/>
    <cellStyle name="20% - Accent4 3 2 2 3 5" xfId="3655" xr:uid="{00000000-0005-0000-0000-00003E0E0000}"/>
    <cellStyle name="20% - Accent4 3 2 2 4" xfId="3656" xr:uid="{00000000-0005-0000-0000-00003F0E0000}"/>
    <cellStyle name="20% - Accent4 3 2 2 4 2" xfId="3657" xr:uid="{00000000-0005-0000-0000-0000400E0000}"/>
    <cellStyle name="20% - Accent4 3 2 2 4 2 2" xfId="3658" xr:uid="{00000000-0005-0000-0000-0000410E0000}"/>
    <cellStyle name="20% - Accent4 3 2 2 4 2 2 2" xfId="3659" xr:uid="{00000000-0005-0000-0000-0000420E0000}"/>
    <cellStyle name="20% - Accent4 3 2 2 4 2 3" xfId="3660" xr:uid="{00000000-0005-0000-0000-0000430E0000}"/>
    <cellStyle name="20% - Accent4 3 2 2 4 3" xfId="3661" xr:uid="{00000000-0005-0000-0000-0000440E0000}"/>
    <cellStyle name="20% - Accent4 3 2 2 4 3 2" xfId="3662" xr:uid="{00000000-0005-0000-0000-0000450E0000}"/>
    <cellStyle name="20% - Accent4 3 2 2 4 4" xfId="3663" xr:uid="{00000000-0005-0000-0000-0000460E0000}"/>
    <cellStyle name="20% - Accent4 3 2 2 5" xfId="3664" xr:uid="{00000000-0005-0000-0000-0000470E0000}"/>
    <cellStyle name="20% - Accent4 3 2 2 5 2" xfId="3665" xr:uid="{00000000-0005-0000-0000-0000480E0000}"/>
    <cellStyle name="20% - Accent4 3 2 2 5 2 2" xfId="3666" xr:uid="{00000000-0005-0000-0000-0000490E0000}"/>
    <cellStyle name="20% - Accent4 3 2 2 5 3" xfId="3667" xr:uid="{00000000-0005-0000-0000-00004A0E0000}"/>
    <cellStyle name="20% - Accent4 3 2 2 6" xfId="3668" xr:uid="{00000000-0005-0000-0000-00004B0E0000}"/>
    <cellStyle name="20% - Accent4 3 2 2 6 2" xfId="3669" xr:uid="{00000000-0005-0000-0000-00004C0E0000}"/>
    <cellStyle name="20% - Accent4 3 2 2 7" xfId="3670" xr:uid="{00000000-0005-0000-0000-00004D0E0000}"/>
    <cellStyle name="20% - Accent4 3 2 3" xfId="3671" xr:uid="{00000000-0005-0000-0000-00004E0E0000}"/>
    <cellStyle name="20% - Accent4 3 2 3 2" xfId="3672" xr:uid="{00000000-0005-0000-0000-00004F0E0000}"/>
    <cellStyle name="20% - Accent4 3 2 3 2 2" xfId="3673" xr:uid="{00000000-0005-0000-0000-0000500E0000}"/>
    <cellStyle name="20% - Accent4 3 2 3 2 2 2" xfId="3674" xr:uid="{00000000-0005-0000-0000-0000510E0000}"/>
    <cellStyle name="20% - Accent4 3 2 3 2 2 2 2" xfId="3675" xr:uid="{00000000-0005-0000-0000-0000520E0000}"/>
    <cellStyle name="20% - Accent4 3 2 3 2 2 2 2 2" xfId="3676" xr:uid="{00000000-0005-0000-0000-0000530E0000}"/>
    <cellStyle name="20% - Accent4 3 2 3 2 2 2 3" xfId="3677" xr:uid="{00000000-0005-0000-0000-0000540E0000}"/>
    <cellStyle name="20% - Accent4 3 2 3 2 2 3" xfId="3678" xr:uid="{00000000-0005-0000-0000-0000550E0000}"/>
    <cellStyle name="20% - Accent4 3 2 3 2 2 3 2" xfId="3679" xr:uid="{00000000-0005-0000-0000-0000560E0000}"/>
    <cellStyle name="20% - Accent4 3 2 3 2 2 4" xfId="3680" xr:uid="{00000000-0005-0000-0000-0000570E0000}"/>
    <cellStyle name="20% - Accent4 3 2 3 2 3" xfId="3681" xr:uid="{00000000-0005-0000-0000-0000580E0000}"/>
    <cellStyle name="20% - Accent4 3 2 3 2 3 2" xfId="3682" xr:uid="{00000000-0005-0000-0000-0000590E0000}"/>
    <cellStyle name="20% - Accent4 3 2 3 2 3 2 2" xfId="3683" xr:uid="{00000000-0005-0000-0000-00005A0E0000}"/>
    <cellStyle name="20% - Accent4 3 2 3 2 3 3" xfId="3684" xr:uid="{00000000-0005-0000-0000-00005B0E0000}"/>
    <cellStyle name="20% - Accent4 3 2 3 2 4" xfId="3685" xr:uid="{00000000-0005-0000-0000-00005C0E0000}"/>
    <cellStyle name="20% - Accent4 3 2 3 2 4 2" xfId="3686" xr:uid="{00000000-0005-0000-0000-00005D0E0000}"/>
    <cellStyle name="20% - Accent4 3 2 3 2 5" xfId="3687" xr:uid="{00000000-0005-0000-0000-00005E0E0000}"/>
    <cellStyle name="20% - Accent4 3 2 3 3" xfId="3688" xr:uid="{00000000-0005-0000-0000-00005F0E0000}"/>
    <cellStyle name="20% - Accent4 3 2 3 3 2" xfId="3689" xr:uid="{00000000-0005-0000-0000-0000600E0000}"/>
    <cellStyle name="20% - Accent4 3 2 3 3 2 2" xfId="3690" xr:uid="{00000000-0005-0000-0000-0000610E0000}"/>
    <cellStyle name="20% - Accent4 3 2 3 3 2 2 2" xfId="3691" xr:uid="{00000000-0005-0000-0000-0000620E0000}"/>
    <cellStyle name="20% - Accent4 3 2 3 3 2 3" xfId="3692" xr:uid="{00000000-0005-0000-0000-0000630E0000}"/>
    <cellStyle name="20% - Accent4 3 2 3 3 3" xfId="3693" xr:uid="{00000000-0005-0000-0000-0000640E0000}"/>
    <cellStyle name="20% - Accent4 3 2 3 3 3 2" xfId="3694" xr:uid="{00000000-0005-0000-0000-0000650E0000}"/>
    <cellStyle name="20% - Accent4 3 2 3 3 4" xfId="3695" xr:uid="{00000000-0005-0000-0000-0000660E0000}"/>
    <cellStyle name="20% - Accent4 3 2 3 4" xfId="3696" xr:uid="{00000000-0005-0000-0000-0000670E0000}"/>
    <cellStyle name="20% - Accent4 3 2 3 4 2" xfId="3697" xr:uid="{00000000-0005-0000-0000-0000680E0000}"/>
    <cellStyle name="20% - Accent4 3 2 3 4 2 2" xfId="3698" xr:uid="{00000000-0005-0000-0000-0000690E0000}"/>
    <cellStyle name="20% - Accent4 3 2 3 4 3" xfId="3699" xr:uid="{00000000-0005-0000-0000-00006A0E0000}"/>
    <cellStyle name="20% - Accent4 3 2 3 5" xfId="3700" xr:uid="{00000000-0005-0000-0000-00006B0E0000}"/>
    <cellStyle name="20% - Accent4 3 2 3 5 2" xfId="3701" xr:uid="{00000000-0005-0000-0000-00006C0E0000}"/>
    <cellStyle name="20% - Accent4 3 2 3 6" xfId="3702" xr:uid="{00000000-0005-0000-0000-00006D0E0000}"/>
    <cellStyle name="20% - Accent4 3 2 4" xfId="3703" xr:uid="{00000000-0005-0000-0000-00006E0E0000}"/>
    <cellStyle name="20% - Accent4 3 2 4 2" xfId="3704" xr:uid="{00000000-0005-0000-0000-00006F0E0000}"/>
    <cellStyle name="20% - Accent4 3 2 4 2 2" xfId="3705" xr:uid="{00000000-0005-0000-0000-0000700E0000}"/>
    <cellStyle name="20% - Accent4 3 2 4 2 2 2" xfId="3706" xr:uid="{00000000-0005-0000-0000-0000710E0000}"/>
    <cellStyle name="20% - Accent4 3 2 4 2 2 2 2" xfId="3707" xr:uid="{00000000-0005-0000-0000-0000720E0000}"/>
    <cellStyle name="20% - Accent4 3 2 4 2 2 3" xfId="3708" xr:uid="{00000000-0005-0000-0000-0000730E0000}"/>
    <cellStyle name="20% - Accent4 3 2 4 2 3" xfId="3709" xr:uid="{00000000-0005-0000-0000-0000740E0000}"/>
    <cellStyle name="20% - Accent4 3 2 4 2 3 2" xfId="3710" xr:uid="{00000000-0005-0000-0000-0000750E0000}"/>
    <cellStyle name="20% - Accent4 3 2 4 2 4" xfId="3711" xr:uid="{00000000-0005-0000-0000-0000760E0000}"/>
    <cellStyle name="20% - Accent4 3 2 4 3" xfId="3712" xr:uid="{00000000-0005-0000-0000-0000770E0000}"/>
    <cellStyle name="20% - Accent4 3 2 4 3 2" xfId="3713" xr:uid="{00000000-0005-0000-0000-0000780E0000}"/>
    <cellStyle name="20% - Accent4 3 2 4 3 2 2" xfId="3714" xr:uid="{00000000-0005-0000-0000-0000790E0000}"/>
    <cellStyle name="20% - Accent4 3 2 4 3 3" xfId="3715" xr:uid="{00000000-0005-0000-0000-00007A0E0000}"/>
    <cellStyle name="20% - Accent4 3 2 4 4" xfId="3716" xr:uid="{00000000-0005-0000-0000-00007B0E0000}"/>
    <cellStyle name="20% - Accent4 3 2 4 4 2" xfId="3717" xr:uid="{00000000-0005-0000-0000-00007C0E0000}"/>
    <cellStyle name="20% - Accent4 3 2 4 5" xfId="3718" xr:uid="{00000000-0005-0000-0000-00007D0E0000}"/>
    <cellStyle name="20% - Accent4 3 2 5" xfId="3719" xr:uid="{00000000-0005-0000-0000-00007E0E0000}"/>
    <cellStyle name="20% - Accent4 3 2 5 2" xfId="3720" xr:uid="{00000000-0005-0000-0000-00007F0E0000}"/>
    <cellStyle name="20% - Accent4 3 2 5 2 2" xfId="3721" xr:uid="{00000000-0005-0000-0000-0000800E0000}"/>
    <cellStyle name="20% - Accent4 3 2 5 2 2 2" xfId="3722" xr:uid="{00000000-0005-0000-0000-0000810E0000}"/>
    <cellStyle name="20% - Accent4 3 2 5 2 3" xfId="3723" xr:uid="{00000000-0005-0000-0000-0000820E0000}"/>
    <cellStyle name="20% - Accent4 3 2 5 3" xfId="3724" xr:uid="{00000000-0005-0000-0000-0000830E0000}"/>
    <cellStyle name="20% - Accent4 3 2 5 3 2" xfId="3725" xr:uid="{00000000-0005-0000-0000-0000840E0000}"/>
    <cellStyle name="20% - Accent4 3 2 5 4" xfId="3726" xr:uid="{00000000-0005-0000-0000-0000850E0000}"/>
    <cellStyle name="20% - Accent4 3 2 6" xfId="3727" xr:uid="{00000000-0005-0000-0000-0000860E0000}"/>
    <cellStyle name="20% - Accent4 3 2 6 2" xfId="3728" xr:uid="{00000000-0005-0000-0000-0000870E0000}"/>
    <cellStyle name="20% - Accent4 3 2 6 2 2" xfId="3729" xr:uid="{00000000-0005-0000-0000-0000880E0000}"/>
    <cellStyle name="20% - Accent4 3 2 6 3" xfId="3730" xr:uid="{00000000-0005-0000-0000-0000890E0000}"/>
    <cellStyle name="20% - Accent4 3 2 7" xfId="3731" xr:uid="{00000000-0005-0000-0000-00008A0E0000}"/>
    <cellStyle name="20% - Accent4 3 2 7 2" xfId="3732" xr:uid="{00000000-0005-0000-0000-00008B0E0000}"/>
    <cellStyle name="20% - Accent4 3 2 8" xfId="3733" xr:uid="{00000000-0005-0000-0000-00008C0E0000}"/>
    <cellStyle name="20% - Accent4 3 3" xfId="3734" xr:uid="{00000000-0005-0000-0000-00008D0E0000}"/>
    <cellStyle name="20% - Accent4 3 3 2" xfId="3735" xr:uid="{00000000-0005-0000-0000-00008E0E0000}"/>
    <cellStyle name="20% - Accent4 3 3 2 2" xfId="3736" xr:uid="{00000000-0005-0000-0000-00008F0E0000}"/>
    <cellStyle name="20% - Accent4 3 3 2 2 2" xfId="3737" xr:uid="{00000000-0005-0000-0000-0000900E0000}"/>
    <cellStyle name="20% - Accent4 3 3 2 2 2 2" xfId="3738" xr:uid="{00000000-0005-0000-0000-0000910E0000}"/>
    <cellStyle name="20% - Accent4 3 3 2 2 2 2 2" xfId="3739" xr:uid="{00000000-0005-0000-0000-0000920E0000}"/>
    <cellStyle name="20% - Accent4 3 3 2 2 2 2 2 2" xfId="3740" xr:uid="{00000000-0005-0000-0000-0000930E0000}"/>
    <cellStyle name="20% - Accent4 3 3 2 2 2 2 3" xfId="3741" xr:uid="{00000000-0005-0000-0000-0000940E0000}"/>
    <cellStyle name="20% - Accent4 3 3 2 2 2 3" xfId="3742" xr:uid="{00000000-0005-0000-0000-0000950E0000}"/>
    <cellStyle name="20% - Accent4 3 3 2 2 2 3 2" xfId="3743" xr:uid="{00000000-0005-0000-0000-0000960E0000}"/>
    <cellStyle name="20% - Accent4 3 3 2 2 2 4" xfId="3744" xr:uid="{00000000-0005-0000-0000-0000970E0000}"/>
    <cellStyle name="20% - Accent4 3 3 2 2 3" xfId="3745" xr:uid="{00000000-0005-0000-0000-0000980E0000}"/>
    <cellStyle name="20% - Accent4 3 3 2 2 3 2" xfId="3746" xr:uid="{00000000-0005-0000-0000-0000990E0000}"/>
    <cellStyle name="20% - Accent4 3 3 2 2 3 2 2" xfId="3747" xr:uid="{00000000-0005-0000-0000-00009A0E0000}"/>
    <cellStyle name="20% - Accent4 3 3 2 2 3 3" xfId="3748" xr:uid="{00000000-0005-0000-0000-00009B0E0000}"/>
    <cellStyle name="20% - Accent4 3 3 2 2 4" xfId="3749" xr:uid="{00000000-0005-0000-0000-00009C0E0000}"/>
    <cellStyle name="20% - Accent4 3 3 2 2 4 2" xfId="3750" xr:uid="{00000000-0005-0000-0000-00009D0E0000}"/>
    <cellStyle name="20% - Accent4 3 3 2 2 5" xfId="3751" xr:uid="{00000000-0005-0000-0000-00009E0E0000}"/>
    <cellStyle name="20% - Accent4 3 3 2 3" xfId="3752" xr:uid="{00000000-0005-0000-0000-00009F0E0000}"/>
    <cellStyle name="20% - Accent4 3 3 2 3 2" xfId="3753" xr:uid="{00000000-0005-0000-0000-0000A00E0000}"/>
    <cellStyle name="20% - Accent4 3 3 2 3 2 2" xfId="3754" xr:uid="{00000000-0005-0000-0000-0000A10E0000}"/>
    <cellStyle name="20% - Accent4 3 3 2 3 2 2 2" xfId="3755" xr:uid="{00000000-0005-0000-0000-0000A20E0000}"/>
    <cellStyle name="20% - Accent4 3 3 2 3 2 3" xfId="3756" xr:uid="{00000000-0005-0000-0000-0000A30E0000}"/>
    <cellStyle name="20% - Accent4 3 3 2 3 3" xfId="3757" xr:uid="{00000000-0005-0000-0000-0000A40E0000}"/>
    <cellStyle name="20% - Accent4 3 3 2 3 3 2" xfId="3758" xr:uid="{00000000-0005-0000-0000-0000A50E0000}"/>
    <cellStyle name="20% - Accent4 3 3 2 3 4" xfId="3759" xr:uid="{00000000-0005-0000-0000-0000A60E0000}"/>
    <cellStyle name="20% - Accent4 3 3 2 4" xfId="3760" xr:uid="{00000000-0005-0000-0000-0000A70E0000}"/>
    <cellStyle name="20% - Accent4 3 3 2 4 2" xfId="3761" xr:uid="{00000000-0005-0000-0000-0000A80E0000}"/>
    <cellStyle name="20% - Accent4 3 3 2 4 2 2" xfId="3762" xr:uid="{00000000-0005-0000-0000-0000A90E0000}"/>
    <cellStyle name="20% - Accent4 3 3 2 4 3" xfId="3763" xr:uid="{00000000-0005-0000-0000-0000AA0E0000}"/>
    <cellStyle name="20% - Accent4 3 3 2 5" xfId="3764" xr:uid="{00000000-0005-0000-0000-0000AB0E0000}"/>
    <cellStyle name="20% - Accent4 3 3 2 5 2" xfId="3765" xr:uid="{00000000-0005-0000-0000-0000AC0E0000}"/>
    <cellStyle name="20% - Accent4 3 3 2 6" xfId="3766" xr:uid="{00000000-0005-0000-0000-0000AD0E0000}"/>
    <cellStyle name="20% - Accent4 3 3 3" xfId="3767" xr:uid="{00000000-0005-0000-0000-0000AE0E0000}"/>
    <cellStyle name="20% - Accent4 3 3 3 2" xfId="3768" xr:uid="{00000000-0005-0000-0000-0000AF0E0000}"/>
    <cellStyle name="20% - Accent4 3 3 3 2 2" xfId="3769" xr:uid="{00000000-0005-0000-0000-0000B00E0000}"/>
    <cellStyle name="20% - Accent4 3 3 3 2 2 2" xfId="3770" xr:uid="{00000000-0005-0000-0000-0000B10E0000}"/>
    <cellStyle name="20% - Accent4 3 3 3 2 2 2 2" xfId="3771" xr:uid="{00000000-0005-0000-0000-0000B20E0000}"/>
    <cellStyle name="20% - Accent4 3 3 3 2 2 3" xfId="3772" xr:uid="{00000000-0005-0000-0000-0000B30E0000}"/>
    <cellStyle name="20% - Accent4 3 3 3 2 3" xfId="3773" xr:uid="{00000000-0005-0000-0000-0000B40E0000}"/>
    <cellStyle name="20% - Accent4 3 3 3 2 3 2" xfId="3774" xr:uid="{00000000-0005-0000-0000-0000B50E0000}"/>
    <cellStyle name="20% - Accent4 3 3 3 2 4" xfId="3775" xr:uid="{00000000-0005-0000-0000-0000B60E0000}"/>
    <cellStyle name="20% - Accent4 3 3 3 3" xfId="3776" xr:uid="{00000000-0005-0000-0000-0000B70E0000}"/>
    <cellStyle name="20% - Accent4 3 3 3 3 2" xfId="3777" xr:uid="{00000000-0005-0000-0000-0000B80E0000}"/>
    <cellStyle name="20% - Accent4 3 3 3 3 2 2" xfId="3778" xr:uid="{00000000-0005-0000-0000-0000B90E0000}"/>
    <cellStyle name="20% - Accent4 3 3 3 3 3" xfId="3779" xr:uid="{00000000-0005-0000-0000-0000BA0E0000}"/>
    <cellStyle name="20% - Accent4 3 3 3 4" xfId="3780" xr:uid="{00000000-0005-0000-0000-0000BB0E0000}"/>
    <cellStyle name="20% - Accent4 3 3 3 4 2" xfId="3781" xr:uid="{00000000-0005-0000-0000-0000BC0E0000}"/>
    <cellStyle name="20% - Accent4 3 3 3 5" xfId="3782" xr:uid="{00000000-0005-0000-0000-0000BD0E0000}"/>
    <cellStyle name="20% - Accent4 3 3 4" xfId="3783" xr:uid="{00000000-0005-0000-0000-0000BE0E0000}"/>
    <cellStyle name="20% - Accent4 3 3 4 2" xfId="3784" xr:uid="{00000000-0005-0000-0000-0000BF0E0000}"/>
    <cellStyle name="20% - Accent4 3 3 4 2 2" xfId="3785" xr:uid="{00000000-0005-0000-0000-0000C00E0000}"/>
    <cellStyle name="20% - Accent4 3 3 4 2 2 2" xfId="3786" xr:uid="{00000000-0005-0000-0000-0000C10E0000}"/>
    <cellStyle name="20% - Accent4 3 3 4 2 3" xfId="3787" xr:uid="{00000000-0005-0000-0000-0000C20E0000}"/>
    <cellStyle name="20% - Accent4 3 3 4 3" xfId="3788" xr:uid="{00000000-0005-0000-0000-0000C30E0000}"/>
    <cellStyle name="20% - Accent4 3 3 4 3 2" xfId="3789" xr:uid="{00000000-0005-0000-0000-0000C40E0000}"/>
    <cellStyle name="20% - Accent4 3 3 4 4" xfId="3790" xr:uid="{00000000-0005-0000-0000-0000C50E0000}"/>
    <cellStyle name="20% - Accent4 3 3 5" xfId="3791" xr:uid="{00000000-0005-0000-0000-0000C60E0000}"/>
    <cellStyle name="20% - Accent4 3 3 5 2" xfId="3792" xr:uid="{00000000-0005-0000-0000-0000C70E0000}"/>
    <cellStyle name="20% - Accent4 3 3 5 2 2" xfId="3793" xr:uid="{00000000-0005-0000-0000-0000C80E0000}"/>
    <cellStyle name="20% - Accent4 3 3 5 3" xfId="3794" xr:uid="{00000000-0005-0000-0000-0000C90E0000}"/>
    <cellStyle name="20% - Accent4 3 3 6" xfId="3795" xr:uid="{00000000-0005-0000-0000-0000CA0E0000}"/>
    <cellStyle name="20% - Accent4 3 3 6 2" xfId="3796" xr:uid="{00000000-0005-0000-0000-0000CB0E0000}"/>
    <cellStyle name="20% - Accent4 3 3 7" xfId="3797" xr:uid="{00000000-0005-0000-0000-0000CC0E0000}"/>
    <cellStyle name="20% - Accent4 3 4" xfId="3798" xr:uid="{00000000-0005-0000-0000-0000CD0E0000}"/>
    <cellStyle name="20% - Accent4 3 4 2" xfId="3799" xr:uid="{00000000-0005-0000-0000-0000CE0E0000}"/>
    <cellStyle name="20% - Accent4 3 4 2 2" xfId="3800" xr:uid="{00000000-0005-0000-0000-0000CF0E0000}"/>
    <cellStyle name="20% - Accent4 3 4 2 2 2" xfId="3801" xr:uid="{00000000-0005-0000-0000-0000D00E0000}"/>
    <cellStyle name="20% - Accent4 3 4 2 2 2 2" xfId="3802" xr:uid="{00000000-0005-0000-0000-0000D10E0000}"/>
    <cellStyle name="20% - Accent4 3 4 2 2 2 2 2" xfId="3803" xr:uid="{00000000-0005-0000-0000-0000D20E0000}"/>
    <cellStyle name="20% - Accent4 3 4 2 2 2 3" xfId="3804" xr:uid="{00000000-0005-0000-0000-0000D30E0000}"/>
    <cellStyle name="20% - Accent4 3 4 2 2 3" xfId="3805" xr:uid="{00000000-0005-0000-0000-0000D40E0000}"/>
    <cellStyle name="20% - Accent4 3 4 2 2 3 2" xfId="3806" xr:uid="{00000000-0005-0000-0000-0000D50E0000}"/>
    <cellStyle name="20% - Accent4 3 4 2 2 4" xfId="3807" xr:uid="{00000000-0005-0000-0000-0000D60E0000}"/>
    <cellStyle name="20% - Accent4 3 4 2 3" xfId="3808" xr:uid="{00000000-0005-0000-0000-0000D70E0000}"/>
    <cellStyle name="20% - Accent4 3 4 2 3 2" xfId="3809" xr:uid="{00000000-0005-0000-0000-0000D80E0000}"/>
    <cellStyle name="20% - Accent4 3 4 2 3 2 2" xfId="3810" xr:uid="{00000000-0005-0000-0000-0000D90E0000}"/>
    <cellStyle name="20% - Accent4 3 4 2 3 3" xfId="3811" xr:uid="{00000000-0005-0000-0000-0000DA0E0000}"/>
    <cellStyle name="20% - Accent4 3 4 2 4" xfId="3812" xr:uid="{00000000-0005-0000-0000-0000DB0E0000}"/>
    <cellStyle name="20% - Accent4 3 4 2 4 2" xfId="3813" xr:uid="{00000000-0005-0000-0000-0000DC0E0000}"/>
    <cellStyle name="20% - Accent4 3 4 2 5" xfId="3814" xr:uid="{00000000-0005-0000-0000-0000DD0E0000}"/>
    <cellStyle name="20% - Accent4 3 4 3" xfId="3815" xr:uid="{00000000-0005-0000-0000-0000DE0E0000}"/>
    <cellStyle name="20% - Accent4 3 4 3 2" xfId="3816" xr:uid="{00000000-0005-0000-0000-0000DF0E0000}"/>
    <cellStyle name="20% - Accent4 3 4 3 2 2" xfId="3817" xr:uid="{00000000-0005-0000-0000-0000E00E0000}"/>
    <cellStyle name="20% - Accent4 3 4 3 2 2 2" xfId="3818" xr:uid="{00000000-0005-0000-0000-0000E10E0000}"/>
    <cellStyle name="20% - Accent4 3 4 3 2 3" xfId="3819" xr:uid="{00000000-0005-0000-0000-0000E20E0000}"/>
    <cellStyle name="20% - Accent4 3 4 3 3" xfId="3820" xr:uid="{00000000-0005-0000-0000-0000E30E0000}"/>
    <cellStyle name="20% - Accent4 3 4 3 3 2" xfId="3821" xr:uid="{00000000-0005-0000-0000-0000E40E0000}"/>
    <cellStyle name="20% - Accent4 3 4 3 4" xfId="3822" xr:uid="{00000000-0005-0000-0000-0000E50E0000}"/>
    <cellStyle name="20% - Accent4 3 4 4" xfId="3823" xr:uid="{00000000-0005-0000-0000-0000E60E0000}"/>
    <cellStyle name="20% - Accent4 3 4 4 2" xfId="3824" xr:uid="{00000000-0005-0000-0000-0000E70E0000}"/>
    <cellStyle name="20% - Accent4 3 4 4 2 2" xfId="3825" xr:uid="{00000000-0005-0000-0000-0000E80E0000}"/>
    <cellStyle name="20% - Accent4 3 4 4 3" xfId="3826" xr:uid="{00000000-0005-0000-0000-0000E90E0000}"/>
    <cellStyle name="20% - Accent4 3 4 5" xfId="3827" xr:uid="{00000000-0005-0000-0000-0000EA0E0000}"/>
    <cellStyle name="20% - Accent4 3 4 5 2" xfId="3828" xr:uid="{00000000-0005-0000-0000-0000EB0E0000}"/>
    <cellStyle name="20% - Accent4 3 4 6" xfId="3829" xr:uid="{00000000-0005-0000-0000-0000EC0E0000}"/>
    <cellStyle name="20% - Accent4 3 5" xfId="3830" xr:uid="{00000000-0005-0000-0000-0000ED0E0000}"/>
    <cellStyle name="20% - Accent4 3 5 2" xfId="3831" xr:uid="{00000000-0005-0000-0000-0000EE0E0000}"/>
    <cellStyle name="20% - Accent4 3 5 2 2" xfId="3832" xr:uid="{00000000-0005-0000-0000-0000EF0E0000}"/>
    <cellStyle name="20% - Accent4 3 5 2 2 2" xfId="3833" xr:uid="{00000000-0005-0000-0000-0000F00E0000}"/>
    <cellStyle name="20% - Accent4 3 5 2 2 2 2" xfId="3834" xr:uid="{00000000-0005-0000-0000-0000F10E0000}"/>
    <cellStyle name="20% - Accent4 3 5 2 2 3" xfId="3835" xr:uid="{00000000-0005-0000-0000-0000F20E0000}"/>
    <cellStyle name="20% - Accent4 3 5 2 3" xfId="3836" xr:uid="{00000000-0005-0000-0000-0000F30E0000}"/>
    <cellStyle name="20% - Accent4 3 5 2 3 2" xfId="3837" xr:uid="{00000000-0005-0000-0000-0000F40E0000}"/>
    <cellStyle name="20% - Accent4 3 5 2 4" xfId="3838" xr:uid="{00000000-0005-0000-0000-0000F50E0000}"/>
    <cellStyle name="20% - Accent4 3 5 3" xfId="3839" xr:uid="{00000000-0005-0000-0000-0000F60E0000}"/>
    <cellStyle name="20% - Accent4 3 5 3 2" xfId="3840" xr:uid="{00000000-0005-0000-0000-0000F70E0000}"/>
    <cellStyle name="20% - Accent4 3 5 3 2 2" xfId="3841" xr:uid="{00000000-0005-0000-0000-0000F80E0000}"/>
    <cellStyle name="20% - Accent4 3 5 3 3" xfId="3842" xr:uid="{00000000-0005-0000-0000-0000F90E0000}"/>
    <cellStyle name="20% - Accent4 3 5 4" xfId="3843" xr:uid="{00000000-0005-0000-0000-0000FA0E0000}"/>
    <cellStyle name="20% - Accent4 3 5 4 2" xfId="3844" xr:uid="{00000000-0005-0000-0000-0000FB0E0000}"/>
    <cellStyle name="20% - Accent4 3 5 5" xfId="3845" xr:uid="{00000000-0005-0000-0000-0000FC0E0000}"/>
    <cellStyle name="20% - Accent4 3 6" xfId="3846" xr:uid="{00000000-0005-0000-0000-0000FD0E0000}"/>
    <cellStyle name="20% - Accent4 3 6 2" xfId="3847" xr:uid="{00000000-0005-0000-0000-0000FE0E0000}"/>
    <cellStyle name="20% - Accent4 3 6 2 2" xfId="3848" xr:uid="{00000000-0005-0000-0000-0000FF0E0000}"/>
    <cellStyle name="20% - Accent4 3 6 2 2 2" xfId="3849" xr:uid="{00000000-0005-0000-0000-0000000F0000}"/>
    <cellStyle name="20% - Accent4 3 6 2 3" xfId="3850" xr:uid="{00000000-0005-0000-0000-0000010F0000}"/>
    <cellStyle name="20% - Accent4 3 6 3" xfId="3851" xr:uid="{00000000-0005-0000-0000-0000020F0000}"/>
    <cellStyle name="20% - Accent4 3 6 3 2" xfId="3852" xr:uid="{00000000-0005-0000-0000-0000030F0000}"/>
    <cellStyle name="20% - Accent4 3 6 4" xfId="3853" xr:uid="{00000000-0005-0000-0000-0000040F0000}"/>
    <cellStyle name="20% - Accent4 3 7" xfId="3854" xr:uid="{00000000-0005-0000-0000-0000050F0000}"/>
    <cellStyle name="20% - Accent4 3 7 2" xfId="3855" xr:uid="{00000000-0005-0000-0000-0000060F0000}"/>
    <cellStyle name="20% - Accent4 3 7 2 2" xfId="3856" xr:uid="{00000000-0005-0000-0000-0000070F0000}"/>
    <cellStyle name="20% - Accent4 3 7 3" xfId="3857" xr:uid="{00000000-0005-0000-0000-0000080F0000}"/>
    <cellStyle name="20% - Accent4 3 8" xfId="3858" xr:uid="{00000000-0005-0000-0000-0000090F0000}"/>
    <cellStyle name="20% - Accent4 3 8 2" xfId="3859" xr:uid="{00000000-0005-0000-0000-00000A0F0000}"/>
    <cellStyle name="20% - Accent4 3 9" xfId="3860" xr:uid="{00000000-0005-0000-0000-00000B0F0000}"/>
    <cellStyle name="20% - Accent4 4" xfId="3861" xr:uid="{00000000-0005-0000-0000-00000C0F0000}"/>
    <cellStyle name="20% - Accent4 4 2" xfId="3862" xr:uid="{00000000-0005-0000-0000-00000D0F0000}"/>
    <cellStyle name="20% - Accent4 4 2 2" xfId="3863" xr:uid="{00000000-0005-0000-0000-00000E0F0000}"/>
    <cellStyle name="20% - Accent4 4 2 2 2" xfId="3864" xr:uid="{00000000-0005-0000-0000-00000F0F0000}"/>
    <cellStyle name="20% - Accent4 4 2 2 2 2" xfId="3865" xr:uid="{00000000-0005-0000-0000-0000100F0000}"/>
    <cellStyle name="20% - Accent4 4 2 2 2 2 2" xfId="3866" xr:uid="{00000000-0005-0000-0000-0000110F0000}"/>
    <cellStyle name="20% - Accent4 4 2 2 2 2 2 2" xfId="3867" xr:uid="{00000000-0005-0000-0000-0000120F0000}"/>
    <cellStyle name="20% - Accent4 4 2 2 2 2 2 2 2" xfId="3868" xr:uid="{00000000-0005-0000-0000-0000130F0000}"/>
    <cellStyle name="20% - Accent4 4 2 2 2 2 2 3" xfId="3869" xr:uid="{00000000-0005-0000-0000-0000140F0000}"/>
    <cellStyle name="20% - Accent4 4 2 2 2 2 3" xfId="3870" xr:uid="{00000000-0005-0000-0000-0000150F0000}"/>
    <cellStyle name="20% - Accent4 4 2 2 2 2 3 2" xfId="3871" xr:uid="{00000000-0005-0000-0000-0000160F0000}"/>
    <cellStyle name="20% - Accent4 4 2 2 2 2 4" xfId="3872" xr:uid="{00000000-0005-0000-0000-0000170F0000}"/>
    <cellStyle name="20% - Accent4 4 2 2 2 3" xfId="3873" xr:uid="{00000000-0005-0000-0000-0000180F0000}"/>
    <cellStyle name="20% - Accent4 4 2 2 2 3 2" xfId="3874" xr:uid="{00000000-0005-0000-0000-0000190F0000}"/>
    <cellStyle name="20% - Accent4 4 2 2 2 3 2 2" xfId="3875" xr:uid="{00000000-0005-0000-0000-00001A0F0000}"/>
    <cellStyle name="20% - Accent4 4 2 2 2 3 3" xfId="3876" xr:uid="{00000000-0005-0000-0000-00001B0F0000}"/>
    <cellStyle name="20% - Accent4 4 2 2 2 4" xfId="3877" xr:uid="{00000000-0005-0000-0000-00001C0F0000}"/>
    <cellStyle name="20% - Accent4 4 2 2 2 4 2" xfId="3878" xr:uid="{00000000-0005-0000-0000-00001D0F0000}"/>
    <cellStyle name="20% - Accent4 4 2 2 2 5" xfId="3879" xr:uid="{00000000-0005-0000-0000-00001E0F0000}"/>
    <cellStyle name="20% - Accent4 4 2 2 3" xfId="3880" xr:uid="{00000000-0005-0000-0000-00001F0F0000}"/>
    <cellStyle name="20% - Accent4 4 2 2 3 2" xfId="3881" xr:uid="{00000000-0005-0000-0000-0000200F0000}"/>
    <cellStyle name="20% - Accent4 4 2 2 3 2 2" xfId="3882" xr:uid="{00000000-0005-0000-0000-0000210F0000}"/>
    <cellStyle name="20% - Accent4 4 2 2 3 2 2 2" xfId="3883" xr:uid="{00000000-0005-0000-0000-0000220F0000}"/>
    <cellStyle name="20% - Accent4 4 2 2 3 2 3" xfId="3884" xr:uid="{00000000-0005-0000-0000-0000230F0000}"/>
    <cellStyle name="20% - Accent4 4 2 2 3 3" xfId="3885" xr:uid="{00000000-0005-0000-0000-0000240F0000}"/>
    <cellStyle name="20% - Accent4 4 2 2 3 3 2" xfId="3886" xr:uid="{00000000-0005-0000-0000-0000250F0000}"/>
    <cellStyle name="20% - Accent4 4 2 2 3 4" xfId="3887" xr:uid="{00000000-0005-0000-0000-0000260F0000}"/>
    <cellStyle name="20% - Accent4 4 2 2 4" xfId="3888" xr:uid="{00000000-0005-0000-0000-0000270F0000}"/>
    <cellStyle name="20% - Accent4 4 2 2 4 2" xfId="3889" xr:uid="{00000000-0005-0000-0000-0000280F0000}"/>
    <cellStyle name="20% - Accent4 4 2 2 4 2 2" xfId="3890" xr:uid="{00000000-0005-0000-0000-0000290F0000}"/>
    <cellStyle name="20% - Accent4 4 2 2 4 3" xfId="3891" xr:uid="{00000000-0005-0000-0000-00002A0F0000}"/>
    <cellStyle name="20% - Accent4 4 2 2 5" xfId="3892" xr:uid="{00000000-0005-0000-0000-00002B0F0000}"/>
    <cellStyle name="20% - Accent4 4 2 2 5 2" xfId="3893" xr:uid="{00000000-0005-0000-0000-00002C0F0000}"/>
    <cellStyle name="20% - Accent4 4 2 2 6" xfId="3894" xr:uid="{00000000-0005-0000-0000-00002D0F0000}"/>
    <cellStyle name="20% - Accent4 4 2 3" xfId="3895" xr:uid="{00000000-0005-0000-0000-00002E0F0000}"/>
    <cellStyle name="20% - Accent4 4 2 3 2" xfId="3896" xr:uid="{00000000-0005-0000-0000-00002F0F0000}"/>
    <cellStyle name="20% - Accent4 4 2 3 2 2" xfId="3897" xr:uid="{00000000-0005-0000-0000-0000300F0000}"/>
    <cellStyle name="20% - Accent4 4 2 3 2 2 2" xfId="3898" xr:uid="{00000000-0005-0000-0000-0000310F0000}"/>
    <cellStyle name="20% - Accent4 4 2 3 2 2 2 2" xfId="3899" xr:uid="{00000000-0005-0000-0000-0000320F0000}"/>
    <cellStyle name="20% - Accent4 4 2 3 2 2 3" xfId="3900" xr:uid="{00000000-0005-0000-0000-0000330F0000}"/>
    <cellStyle name="20% - Accent4 4 2 3 2 3" xfId="3901" xr:uid="{00000000-0005-0000-0000-0000340F0000}"/>
    <cellStyle name="20% - Accent4 4 2 3 2 3 2" xfId="3902" xr:uid="{00000000-0005-0000-0000-0000350F0000}"/>
    <cellStyle name="20% - Accent4 4 2 3 2 4" xfId="3903" xr:uid="{00000000-0005-0000-0000-0000360F0000}"/>
    <cellStyle name="20% - Accent4 4 2 3 3" xfId="3904" xr:uid="{00000000-0005-0000-0000-0000370F0000}"/>
    <cellStyle name="20% - Accent4 4 2 3 3 2" xfId="3905" xr:uid="{00000000-0005-0000-0000-0000380F0000}"/>
    <cellStyle name="20% - Accent4 4 2 3 3 2 2" xfId="3906" xr:uid="{00000000-0005-0000-0000-0000390F0000}"/>
    <cellStyle name="20% - Accent4 4 2 3 3 3" xfId="3907" xr:uid="{00000000-0005-0000-0000-00003A0F0000}"/>
    <cellStyle name="20% - Accent4 4 2 3 4" xfId="3908" xr:uid="{00000000-0005-0000-0000-00003B0F0000}"/>
    <cellStyle name="20% - Accent4 4 2 3 4 2" xfId="3909" xr:uid="{00000000-0005-0000-0000-00003C0F0000}"/>
    <cellStyle name="20% - Accent4 4 2 3 5" xfId="3910" xr:uid="{00000000-0005-0000-0000-00003D0F0000}"/>
    <cellStyle name="20% - Accent4 4 2 4" xfId="3911" xr:uid="{00000000-0005-0000-0000-00003E0F0000}"/>
    <cellStyle name="20% - Accent4 4 2 4 2" xfId="3912" xr:uid="{00000000-0005-0000-0000-00003F0F0000}"/>
    <cellStyle name="20% - Accent4 4 2 4 2 2" xfId="3913" xr:uid="{00000000-0005-0000-0000-0000400F0000}"/>
    <cellStyle name="20% - Accent4 4 2 4 2 2 2" xfId="3914" xr:uid="{00000000-0005-0000-0000-0000410F0000}"/>
    <cellStyle name="20% - Accent4 4 2 4 2 3" xfId="3915" xr:uid="{00000000-0005-0000-0000-0000420F0000}"/>
    <cellStyle name="20% - Accent4 4 2 4 3" xfId="3916" xr:uid="{00000000-0005-0000-0000-0000430F0000}"/>
    <cellStyle name="20% - Accent4 4 2 4 3 2" xfId="3917" xr:uid="{00000000-0005-0000-0000-0000440F0000}"/>
    <cellStyle name="20% - Accent4 4 2 4 4" xfId="3918" xr:uid="{00000000-0005-0000-0000-0000450F0000}"/>
    <cellStyle name="20% - Accent4 4 2 5" xfId="3919" xr:uid="{00000000-0005-0000-0000-0000460F0000}"/>
    <cellStyle name="20% - Accent4 4 2 5 2" xfId="3920" xr:uid="{00000000-0005-0000-0000-0000470F0000}"/>
    <cellStyle name="20% - Accent4 4 2 5 2 2" xfId="3921" xr:uid="{00000000-0005-0000-0000-0000480F0000}"/>
    <cellStyle name="20% - Accent4 4 2 5 3" xfId="3922" xr:uid="{00000000-0005-0000-0000-0000490F0000}"/>
    <cellStyle name="20% - Accent4 4 2 6" xfId="3923" xr:uid="{00000000-0005-0000-0000-00004A0F0000}"/>
    <cellStyle name="20% - Accent4 4 2 6 2" xfId="3924" xr:uid="{00000000-0005-0000-0000-00004B0F0000}"/>
    <cellStyle name="20% - Accent4 4 2 7" xfId="3925" xr:uid="{00000000-0005-0000-0000-00004C0F0000}"/>
    <cellStyle name="20% - Accent4 4 3" xfId="3926" xr:uid="{00000000-0005-0000-0000-00004D0F0000}"/>
    <cellStyle name="20% - Accent4 4 3 2" xfId="3927" xr:uid="{00000000-0005-0000-0000-00004E0F0000}"/>
    <cellStyle name="20% - Accent4 4 3 2 2" xfId="3928" xr:uid="{00000000-0005-0000-0000-00004F0F0000}"/>
    <cellStyle name="20% - Accent4 4 3 2 2 2" xfId="3929" xr:uid="{00000000-0005-0000-0000-0000500F0000}"/>
    <cellStyle name="20% - Accent4 4 3 2 2 2 2" xfId="3930" xr:uid="{00000000-0005-0000-0000-0000510F0000}"/>
    <cellStyle name="20% - Accent4 4 3 2 2 2 2 2" xfId="3931" xr:uid="{00000000-0005-0000-0000-0000520F0000}"/>
    <cellStyle name="20% - Accent4 4 3 2 2 2 3" xfId="3932" xr:uid="{00000000-0005-0000-0000-0000530F0000}"/>
    <cellStyle name="20% - Accent4 4 3 2 2 3" xfId="3933" xr:uid="{00000000-0005-0000-0000-0000540F0000}"/>
    <cellStyle name="20% - Accent4 4 3 2 2 3 2" xfId="3934" xr:uid="{00000000-0005-0000-0000-0000550F0000}"/>
    <cellStyle name="20% - Accent4 4 3 2 2 4" xfId="3935" xr:uid="{00000000-0005-0000-0000-0000560F0000}"/>
    <cellStyle name="20% - Accent4 4 3 2 3" xfId="3936" xr:uid="{00000000-0005-0000-0000-0000570F0000}"/>
    <cellStyle name="20% - Accent4 4 3 2 3 2" xfId="3937" xr:uid="{00000000-0005-0000-0000-0000580F0000}"/>
    <cellStyle name="20% - Accent4 4 3 2 3 2 2" xfId="3938" xr:uid="{00000000-0005-0000-0000-0000590F0000}"/>
    <cellStyle name="20% - Accent4 4 3 2 3 3" xfId="3939" xr:uid="{00000000-0005-0000-0000-00005A0F0000}"/>
    <cellStyle name="20% - Accent4 4 3 2 4" xfId="3940" xr:uid="{00000000-0005-0000-0000-00005B0F0000}"/>
    <cellStyle name="20% - Accent4 4 3 2 4 2" xfId="3941" xr:uid="{00000000-0005-0000-0000-00005C0F0000}"/>
    <cellStyle name="20% - Accent4 4 3 2 5" xfId="3942" xr:uid="{00000000-0005-0000-0000-00005D0F0000}"/>
    <cellStyle name="20% - Accent4 4 3 3" xfId="3943" xr:uid="{00000000-0005-0000-0000-00005E0F0000}"/>
    <cellStyle name="20% - Accent4 4 3 3 2" xfId="3944" xr:uid="{00000000-0005-0000-0000-00005F0F0000}"/>
    <cellStyle name="20% - Accent4 4 3 3 2 2" xfId="3945" xr:uid="{00000000-0005-0000-0000-0000600F0000}"/>
    <cellStyle name="20% - Accent4 4 3 3 2 2 2" xfId="3946" xr:uid="{00000000-0005-0000-0000-0000610F0000}"/>
    <cellStyle name="20% - Accent4 4 3 3 2 3" xfId="3947" xr:uid="{00000000-0005-0000-0000-0000620F0000}"/>
    <cellStyle name="20% - Accent4 4 3 3 3" xfId="3948" xr:uid="{00000000-0005-0000-0000-0000630F0000}"/>
    <cellStyle name="20% - Accent4 4 3 3 3 2" xfId="3949" xr:uid="{00000000-0005-0000-0000-0000640F0000}"/>
    <cellStyle name="20% - Accent4 4 3 3 4" xfId="3950" xr:uid="{00000000-0005-0000-0000-0000650F0000}"/>
    <cellStyle name="20% - Accent4 4 3 4" xfId="3951" xr:uid="{00000000-0005-0000-0000-0000660F0000}"/>
    <cellStyle name="20% - Accent4 4 3 4 2" xfId="3952" xr:uid="{00000000-0005-0000-0000-0000670F0000}"/>
    <cellStyle name="20% - Accent4 4 3 4 2 2" xfId="3953" xr:uid="{00000000-0005-0000-0000-0000680F0000}"/>
    <cellStyle name="20% - Accent4 4 3 4 3" xfId="3954" xr:uid="{00000000-0005-0000-0000-0000690F0000}"/>
    <cellStyle name="20% - Accent4 4 3 5" xfId="3955" xr:uid="{00000000-0005-0000-0000-00006A0F0000}"/>
    <cellStyle name="20% - Accent4 4 3 5 2" xfId="3956" xr:uid="{00000000-0005-0000-0000-00006B0F0000}"/>
    <cellStyle name="20% - Accent4 4 3 6" xfId="3957" xr:uid="{00000000-0005-0000-0000-00006C0F0000}"/>
    <cellStyle name="20% - Accent4 4 4" xfId="3958" xr:uid="{00000000-0005-0000-0000-00006D0F0000}"/>
    <cellStyle name="20% - Accent4 4 4 2" xfId="3959" xr:uid="{00000000-0005-0000-0000-00006E0F0000}"/>
    <cellStyle name="20% - Accent4 4 4 2 2" xfId="3960" xr:uid="{00000000-0005-0000-0000-00006F0F0000}"/>
    <cellStyle name="20% - Accent4 4 4 2 2 2" xfId="3961" xr:uid="{00000000-0005-0000-0000-0000700F0000}"/>
    <cellStyle name="20% - Accent4 4 4 2 2 2 2" xfId="3962" xr:uid="{00000000-0005-0000-0000-0000710F0000}"/>
    <cellStyle name="20% - Accent4 4 4 2 2 3" xfId="3963" xr:uid="{00000000-0005-0000-0000-0000720F0000}"/>
    <cellStyle name="20% - Accent4 4 4 2 3" xfId="3964" xr:uid="{00000000-0005-0000-0000-0000730F0000}"/>
    <cellStyle name="20% - Accent4 4 4 2 3 2" xfId="3965" xr:uid="{00000000-0005-0000-0000-0000740F0000}"/>
    <cellStyle name="20% - Accent4 4 4 2 4" xfId="3966" xr:uid="{00000000-0005-0000-0000-0000750F0000}"/>
    <cellStyle name="20% - Accent4 4 4 3" xfId="3967" xr:uid="{00000000-0005-0000-0000-0000760F0000}"/>
    <cellStyle name="20% - Accent4 4 4 3 2" xfId="3968" xr:uid="{00000000-0005-0000-0000-0000770F0000}"/>
    <cellStyle name="20% - Accent4 4 4 3 2 2" xfId="3969" xr:uid="{00000000-0005-0000-0000-0000780F0000}"/>
    <cellStyle name="20% - Accent4 4 4 3 3" xfId="3970" xr:uid="{00000000-0005-0000-0000-0000790F0000}"/>
    <cellStyle name="20% - Accent4 4 4 4" xfId="3971" xr:uid="{00000000-0005-0000-0000-00007A0F0000}"/>
    <cellStyle name="20% - Accent4 4 4 4 2" xfId="3972" xr:uid="{00000000-0005-0000-0000-00007B0F0000}"/>
    <cellStyle name="20% - Accent4 4 4 5" xfId="3973" xr:uid="{00000000-0005-0000-0000-00007C0F0000}"/>
    <cellStyle name="20% - Accent4 4 5" xfId="3974" xr:uid="{00000000-0005-0000-0000-00007D0F0000}"/>
    <cellStyle name="20% - Accent4 4 5 2" xfId="3975" xr:uid="{00000000-0005-0000-0000-00007E0F0000}"/>
    <cellStyle name="20% - Accent4 4 5 2 2" xfId="3976" xr:uid="{00000000-0005-0000-0000-00007F0F0000}"/>
    <cellStyle name="20% - Accent4 4 5 2 2 2" xfId="3977" xr:uid="{00000000-0005-0000-0000-0000800F0000}"/>
    <cellStyle name="20% - Accent4 4 5 2 3" xfId="3978" xr:uid="{00000000-0005-0000-0000-0000810F0000}"/>
    <cellStyle name="20% - Accent4 4 5 3" xfId="3979" xr:uid="{00000000-0005-0000-0000-0000820F0000}"/>
    <cellStyle name="20% - Accent4 4 5 3 2" xfId="3980" xr:uid="{00000000-0005-0000-0000-0000830F0000}"/>
    <cellStyle name="20% - Accent4 4 5 4" xfId="3981" xr:uid="{00000000-0005-0000-0000-0000840F0000}"/>
    <cellStyle name="20% - Accent4 4 6" xfId="3982" xr:uid="{00000000-0005-0000-0000-0000850F0000}"/>
    <cellStyle name="20% - Accent4 4 6 2" xfId="3983" xr:uid="{00000000-0005-0000-0000-0000860F0000}"/>
    <cellStyle name="20% - Accent4 4 6 2 2" xfId="3984" xr:uid="{00000000-0005-0000-0000-0000870F0000}"/>
    <cellStyle name="20% - Accent4 4 6 3" xfId="3985" xr:uid="{00000000-0005-0000-0000-0000880F0000}"/>
    <cellStyle name="20% - Accent4 4 7" xfId="3986" xr:uid="{00000000-0005-0000-0000-0000890F0000}"/>
    <cellStyle name="20% - Accent4 4 7 2" xfId="3987" xr:uid="{00000000-0005-0000-0000-00008A0F0000}"/>
    <cellStyle name="20% - Accent4 4 8" xfId="3988" xr:uid="{00000000-0005-0000-0000-00008B0F0000}"/>
    <cellStyle name="20% - Accent4 5" xfId="3989" xr:uid="{00000000-0005-0000-0000-00008C0F0000}"/>
    <cellStyle name="20% - Accent4 5 2" xfId="3990" xr:uid="{00000000-0005-0000-0000-00008D0F0000}"/>
    <cellStyle name="20% - Accent4 5 2 2" xfId="3991" xr:uid="{00000000-0005-0000-0000-00008E0F0000}"/>
    <cellStyle name="20% - Accent4 5 2 2 2" xfId="3992" xr:uid="{00000000-0005-0000-0000-00008F0F0000}"/>
    <cellStyle name="20% - Accent4 5 2 2 2 2" xfId="3993" xr:uid="{00000000-0005-0000-0000-0000900F0000}"/>
    <cellStyle name="20% - Accent4 5 2 2 2 2 2" xfId="3994" xr:uid="{00000000-0005-0000-0000-0000910F0000}"/>
    <cellStyle name="20% - Accent4 5 2 2 2 2 2 2" xfId="3995" xr:uid="{00000000-0005-0000-0000-0000920F0000}"/>
    <cellStyle name="20% - Accent4 5 2 2 2 2 3" xfId="3996" xr:uid="{00000000-0005-0000-0000-0000930F0000}"/>
    <cellStyle name="20% - Accent4 5 2 2 2 3" xfId="3997" xr:uid="{00000000-0005-0000-0000-0000940F0000}"/>
    <cellStyle name="20% - Accent4 5 2 2 2 3 2" xfId="3998" xr:uid="{00000000-0005-0000-0000-0000950F0000}"/>
    <cellStyle name="20% - Accent4 5 2 2 2 4" xfId="3999" xr:uid="{00000000-0005-0000-0000-0000960F0000}"/>
    <cellStyle name="20% - Accent4 5 2 2 3" xfId="4000" xr:uid="{00000000-0005-0000-0000-0000970F0000}"/>
    <cellStyle name="20% - Accent4 5 2 2 3 2" xfId="4001" xr:uid="{00000000-0005-0000-0000-0000980F0000}"/>
    <cellStyle name="20% - Accent4 5 2 2 3 2 2" xfId="4002" xr:uid="{00000000-0005-0000-0000-0000990F0000}"/>
    <cellStyle name="20% - Accent4 5 2 2 3 3" xfId="4003" xr:uid="{00000000-0005-0000-0000-00009A0F0000}"/>
    <cellStyle name="20% - Accent4 5 2 2 4" xfId="4004" xr:uid="{00000000-0005-0000-0000-00009B0F0000}"/>
    <cellStyle name="20% - Accent4 5 2 2 4 2" xfId="4005" xr:uid="{00000000-0005-0000-0000-00009C0F0000}"/>
    <cellStyle name="20% - Accent4 5 2 2 5" xfId="4006" xr:uid="{00000000-0005-0000-0000-00009D0F0000}"/>
    <cellStyle name="20% - Accent4 5 2 3" xfId="4007" xr:uid="{00000000-0005-0000-0000-00009E0F0000}"/>
    <cellStyle name="20% - Accent4 5 2 3 2" xfId="4008" xr:uid="{00000000-0005-0000-0000-00009F0F0000}"/>
    <cellStyle name="20% - Accent4 5 2 3 2 2" xfId="4009" xr:uid="{00000000-0005-0000-0000-0000A00F0000}"/>
    <cellStyle name="20% - Accent4 5 2 3 2 2 2" xfId="4010" xr:uid="{00000000-0005-0000-0000-0000A10F0000}"/>
    <cellStyle name="20% - Accent4 5 2 3 2 3" xfId="4011" xr:uid="{00000000-0005-0000-0000-0000A20F0000}"/>
    <cellStyle name="20% - Accent4 5 2 3 3" xfId="4012" xr:uid="{00000000-0005-0000-0000-0000A30F0000}"/>
    <cellStyle name="20% - Accent4 5 2 3 3 2" xfId="4013" xr:uid="{00000000-0005-0000-0000-0000A40F0000}"/>
    <cellStyle name="20% - Accent4 5 2 3 4" xfId="4014" xr:uid="{00000000-0005-0000-0000-0000A50F0000}"/>
    <cellStyle name="20% - Accent4 5 2 4" xfId="4015" xr:uid="{00000000-0005-0000-0000-0000A60F0000}"/>
    <cellStyle name="20% - Accent4 5 2 4 2" xfId="4016" xr:uid="{00000000-0005-0000-0000-0000A70F0000}"/>
    <cellStyle name="20% - Accent4 5 2 4 2 2" xfId="4017" xr:uid="{00000000-0005-0000-0000-0000A80F0000}"/>
    <cellStyle name="20% - Accent4 5 2 4 3" xfId="4018" xr:uid="{00000000-0005-0000-0000-0000A90F0000}"/>
    <cellStyle name="20% - Accent4 5 2 5" xfId="4019" xr:uid="{00000000-0005-0000-0000-0000AA0F0000}"/>
    <cellStyle name="20% - Accent4 5 2 5 2" xfId="4020" xr:uid="{00000000-0005-0000-0000-0000AB0F0000}"/>
    <cellStyle name="20% - Accent4 5 2 6" xfId="4021" xr:uid="{00000000-0005-0000-0000-0000AC0F0000}"/>
    <cellStyle name="20% - Accent4 5 3" xfId="4022" xr:uid="{00000000-0005-0000-0000-0000AD0F0000}"/>
    <cellStyle name="20% - Accent4 5 3 2" xfId="4023" xr:uid="{00000000-0005-0000-0000-0000AE0F0000}"/>
    <cellStyle name="20% - Accent4 5 3 2 2" xfId="4024" xr:uid="{00000000-0005-0000-0000-0000AF0F0000}"/>
    <cellStyle name="20% - Accent4 5 3 2 2 2" xfId="4025" xr:uid="{00000000-0005-0000-0000-0000B00F0000}"/>
    <cellStyle name="20% - Accent4 5 3 2 2 2 2" xfId="4026" xr:uid="{00000000-0005-0000-0000-0000B10F0000}"/>
    <cellStyle name="20% - Accent4 5 3 2 2 3" xfId="4027" xr:uid="{00000000-0005-0000-0000-0000B20F0000}"/>
    <cellStyle name="20% - Accent4 5 3 2 3" xfId="4028" xr:uid="{00000000-0005-0000-0000-0000B30F0000}"/>
    <cellStyle name="20% - Accent4 5 3 2 3 2" xfId="4029" xr:uid="{00000000-0005-0000-0000-0000B40F0000}"/>
    <cellStyle name="20% - Accent4 5 3 2 4" xfId="4030" xr:uid="{00000000-0005-0000-0000-0000B50F0000}"/>
    <cellStyle name="20% - Accent4 5 3 3" xfId="4031" xr:uid="{00000000-0005-0000-0000-0000B60F0000}"/>
    <cellStyle name="20% - Accent4 5 3 3 2" xfId="4032" xr:uid="{00000000-0005-0000-0000-0000B70F0000}"/>
    <cellStyle name="20% - Accent4 5 3 3 2 2" xfId="4033" xr:uid="{00000000-0005-0000-0000-0000B80F0000}"/>
    <cellStyle name="20% - Accent4 5 3 3 3" xfId="4034" xr:uid="{00000000-0005-0000-0000-0000B90F0000}"/>
    <cellStyle name="20% - Accent4 5 3 4" xfId="4035" xr:uid="{00000000-0005-0000-0000-0000BA0F0000}"/>
    <cellStyle name="20% - Accent4 5 3 4 2" xfId="4036" xr:uid="{00000000-0005-0000-0000-0000BB0F0000}"/>
    <cellStyle name="20% - Accent4 5 3 5" xfId="4037" xr:uid="{00000000-0005-0000-0000-0000BC0F0000}"/>
    <cellStyle name="20% - Accent4 5 4" xfId="4038" xr:uid="{00000000-0005-0000-0000-0000BD0F0000}"/>
    <cellStyle name="20% - Accent4 5 4 2" xfId="4039" xr:uid="{00000000-0005-0000-0000-0000BE0F0000}"/>
    <cellStyle name="20% - Accent4 5 4 2 2" xfId="4040" xr:uid="{00000000-0005-0000-0000-0000BF0F0000}"/>
    <cellStyle name="20% - Accent4 5 4 2 2 2" xfId="4041" xr:uid="{00000000-0005-0000-0000-0000C00F0000}"/>
    <cellStyle name="20% - Accent4 5 4 2 2 3" xfId="23329" xr:uid="{00000000-0005-0000-0000-0000C10F0000}"/>
    <cellStyle name="20% - Accent4 5 4 2 3" xfId="4042" xr:uid="{00000000-0005-0000-0000-0000C20F0000}"/>
    <cellStyle name="20% - Accent4 5 4 2 4" xfId="20746" xr:uid="{00000000-0005-0000-0000-0000C30F0000}"/>
    <cellStyle name="20% - Accent4 5 4 3" xfId="4043" xr:uid="{00000000-0005-0000-0000-0000C40F0000}"/>
    <cellStyle name="20% - Accent4 5 4 3 2" xfId="4044" xr:uid="{00000000-0005-0000-0000-0000C50F0000}"/>
    <cellStyle name="20% - Accent4 5 4 3 3" xfId="22039" xr:uid="{00000000-0005-0000-0000-0000C60F0000}"/>
    <cellStyle name="20% - Accent4 5 4 4" xfId="4045" xr:uid="{00000000-0005-0000-0000-0000C70F0000}"/>
    <cellStyle name="20% - Accent4 5 5" xfId="4046" xr:uid="{00000000-0005-0000-0000-0000C80F0000}"/>
    <cellStyle name="20% - Accent4 5 5 2" xfId="4047" xr:uid="{00000000-0005-0000-0000-0000C90F0000}"/>
    <cellStyle name="20% - Accent4 5 5 2 2" xfId="4048" xr:uid="{00000000-0005-0000-0000-0000CA0F0000}"/>
    <cellStyle name="20% - Accent4 5 5 2 3" xfId="22684" xr:uid="{00000000-0005-0000-0000-0000CB0F0000}"/>
    <cellStyle name="20% - Accent4 5 5 3" xfId="4049" xr:uid="{00000000-0005-0000-0000-0000CC0F0000}"/>
    <cellStyle name="20% - Accent4 5 5 4" xfId="20101" xr:uid="{00000000-0005-0000-0000-0000CD0F0000}"/>
    <cellStyle name="20% - Accent4 5 6" xfId="4050" xr:uid="{00000000-0005-0000-0000-0000CE0F0000}"/>
    <cellStyle name="20% - Accent4 5 6 2" xfId="4051" xr:uid="{00000000-0005-0000-0000-0000CF0F0000}"/>
    <cellStyle name="20% - Accent4 5 6 3" xfId="21394" xr:uid="{00000000-0005-0000-0000-0000D00F0000}"/>
    <cellStyle name="20% - Accent4 5 7" xfId="4052" xr:uid="{00000000-0005-0000-0000-0000D10F0000}"/>
    <cellStyle name="20% - Accent4 6" xfId="4053" xr:uid="{00000000-0005-0000-0000-0000D20F0000}"/>
    <cellStyle name="20% - Accent4 6 2" xfId="4054" xr:uid="{00000000-0005-0000-0000-0000D30F0000}"/>
    <cellStyle name="20% - Accent4 6 2 2" xfId="4055" xr:uid="{00000000-0005-0000-0000-0000D40F0000}"/>
    <cellStyle name="20% - Accent4 6 2 2 2" xfId="4056" xr:uid="{00000000-0005-0000-0000-0000D50F0000}"/>
    <cellStyle name="20% - Accent4 6 2 2 2 2" xfId="4057" xr:uid="{00000000-0005-0000-0000-0000D60F0000}"/>
    <cellStyle name="20% - Accent4 6 2 2 2 2 2" xfId="4058" xr:uid="{00000000-0005-0000-0000-0000D70F0000}"/>
    <cellStyle name="20% - Accent4 6 2 2 2 2 3" xfId="23732" xr:uid="{00000000-0005-0000-0000-0000D80F0000}"/>
    <cellStyle name="20% - Accent4 6 2 2 2 3" xfId="4059" xr:uid="{00000000-0005-0000-0000-0000D90F0000}"/>
    <cellStyle name="20% - Accent4 6 2 2 2 4" xfId="21149" xr:uid="{00000000-0005-0000-0000-0000DA0F0000}"/>
    <cellStyle name="20% - Accent4 6 2 2 3" xfId="4060" xr:uid="{00000000-0005-0000-0000-0000DB0F0000}"/>
    <cellStyle name="20% - Accent4 6 2 2 3 2" xfId="4061" xr:uid="{00000000-0005-0000-0000-0000DC0F0000}"/>
    <cellStyle name="20% - Accent4 6 2 2 3 3" xfId="22442" xr:uid="{00000000-0005-0000-0000-0000DD0F0000}"/>
    <cellStyle name="20% - Accent4 6 2 2 4" xfId="4062" xr:uid="{00000000-0005-0000-0000-0000DE0F0000}"/>
    <cellStyle name="20% - Accent4 6 2 2 5" xfId="19855" xr:uid="{00000000-0005-0000-0000-0000DF0F0000}"/>
    <cellStyle name="20% - Accent4 6 2 3" xfId="4063" xr:uid="{00000000-0005-0000-0000-0000E00F0000}"/>
    <cellStyle name="20% - Accent4 6 2 3 2" xfId="4064" xr:uid="{00000000-0005-0000-0000-0000E10F0000}"/>
    <cellStyle name="20% - Accent4 6 2 3 2 2" xfId="4065" xr:uid="{00000000-0005-0000-0000-0000E20F0000}"/>
    <cellStyle name="20% - Accent4 6 2 3 2 3" xfId="23087" xr:uid="{00000000-0005-0000-0000-0000E30F0000}"/>
    <cellStyle name="20% - Accent4 6 2 3 3" xfId="4066" xr:uid="{00000000-0005-0000-0000-0000E40F0000}"/>
    <cellStyle name="20% - Accent4 6 2 3 4" xfId="20504" xr:uid="{00000000-0005-0000-0000-0000E50F0000}"/>
    <cellStyle name="20% - Accent4 6 2 4" xfId="4067" xr:uid="{00000000-0005-0000-0000-0000E60F0000}"/>
    <cellStyle name="20% - Accent4 6 2 4 2" xfId="4068" xr:uid="{00000000-0005-0000-0000-0000E70F0000}"/>
    <cellStyle name="20% - Accent4 6 2 4 3" xfId="21797" xr:uid="{00000000-0005-0000-0000-0000E80F0000}"/>
    <cellStyle name="20% - Accent4 6 2 5" xfId="4069" xr:uid="{00000000-0005-0000-0000-0000E90F0000}"/>
    <cellStyle name="20% - Accent4 6 2 6" xfId="19207" xr:uid="{00000000-0005-0000-0000-0000EA0F0000}"/>
    <cellStyle name="20% - Accent4 6 3" xfId="4070" xr:uid="{00000000-0005-0000-0000-0000EB0F0000}"/>
    <cellStyle name="20% - Accent4 6 3 2" xfId="4071" xr:uid="{00000000-0005-0000-0000-0000EC0F0000}"/>
    <cellStyle name="20% - Accent4 6 3 2 2" xfId="4072" xr:uid="{00000000-0005-0000-0000-0000ED0F0000}"/>
    <cellStyle name="20% - Accent4 6 3 2 2 2" xfId="4073" xr:uid="{00000000-0005-0000-0000-0000EE0F0000}"/>
    <cellStyle name="20% - Accent4 6 3 2 2 3" xfId="23410" xr:uid="{00000000-0005-0000-0000-0000EF0F0000}"/>
    <cellStyle name="20% - Accent4 6 3 2 3" xfId="4074" xr:uid="{00000000-0005-0000-0000-0000F00F0000}"/>
    <cellStyle name="20% - Accent4 6 3 2 4" xfId="20827" xr:uid="{00000000-0005-0000-0000-0000F10F0000}"/>
    <cellStyle name="20% - Accent4 6 3 3" xfId="4075" xr:uid="{00000000-0005-0000-0000-0000F20F0000}"/>
    <cellStyle name="20% - Accent4 6 3 3 2" xfId="4076" xr:uid="{00000000-0005-0000-0000-0000F30F0000}"/>
    <cellStyle name="20% - Accent4 6 3 3 3" xfId="22120" xr:uid="{00000000-0005-0000-0000-0000F40F0000}"/>
    <cellStyle name="20% - Accent4 6 3 4" xfId="4077" xr:uid="{00000000-0005-0000-0000-0000F50F0000}"/>
    <cellStyle name="20% - Accent4 6 3 5" xfId="19533" xr:uid="{00000000-0005-0000-0000-0000F60F0000}"/>
    <cellStyle name="20% - Accent4 6 4" xfId="4078" xr:uid="{00000000-0005-0000-0000-0000F70F0000}"/>
    <cellStyle name="20% - Accent4 6 4 2" xfId="4079" xr:uid="{00000000-0005-0000-0000-0000F80F0000}"/>
    <cellStyle name="20% - Accent4 6 4 2 2" xfId="4080" xr:uid="{00000000-0005-0000-0000-0000F90F0000}"/>
    <cellStyle name="20% - Accent4 6 4 2 3" xfId="22765" xr:uid="{00000000-0005-0000-0000-0000FA0F0000}"/>
    <cellStyle name="20% - Accent4 6 4 3" xfId="4081" xr:uid="{00000000-0005-0000-0000-0000FB0F0000}"/>
    <cellStyle name="20% - Accent4 6 4 4" xfId="20182" xr:uid="{00000000-0005-0000-0000-0000FC0F0000}"/>
    <cellStyle name="20% - Accent4 6 5" xfId="4082" xr:uid="{00000000-0005-0000-0000-0000FD0F0000}"/>
    <cellStyle name="20% - Accent4 6 5 2" xfId="4083" xr:uid="{00000000-0005-0000-0000-0000FE0F0000}"/>
    <cellStyle name="20% - Accent4 6 5 3" xfId="21475" xr:uid="{00000000-0005-0000-0000-0000FF0F0000}"/>
    <cellStyle name="20% - Accent4 6 6" xfId="4084" xr:uid="{00000000-0005-0000-0000-000000100000}"/>
    <cellStyle name="20% - Accent4 6 7" xfId="18877" xr:uid="{00000000-0005-0000-0000-000001100000}"/>
    <cellStyle name="20% - Accent4 7" xfId="4085" xr:uid="{00000000-0005-0000-0000-000002100000}"/>
    <cellStyle name="20% - Accent4 7 2" xfId="4086" xr:uid="{00000000-0005-0000-0000-000003100000}"/>
    <cellStyle name="20% - Accent4 7 2 2" xfId="4087" xr:uid="{00000000-0005-0000-0000-000004100000}"/>
    <cellStyle name="20% - Accent4 7 2 2 2" xfId="4088" xr:uid="{00000000-0005-0000-0000-000005100000}"/>
    <cellStyle name="20% - Accent4 7 2 2 2 2" xfId="4089" xr:uid="{00000000-0005-0000-0000-000006100000}"/>
    <cellStyle name="20% - Accent4 7 2 2 2 3" xfId="23571" xr:uid="{00000000-0005-0000-0000-000007100000}"/>
    <cellStyle name="20% - Accent4 7 2 2 3" xfId="4090" xr:uid="{00000000-0005-0000-0000-000008100000}"/>
    <cellStyle name="20% - Accent4 7 2 2 4" xfId="20988" xr:uid="{00000000-0005-0000-0000-000009100000}"/>
    <cellStyle name="20% - Accent4 7 2 3" xfId="4091" xr:uid="{00000000-0005-0000-0000-00000A100000}"/>
    <cellStyle name="20% - Accent4 7 2 3 2" xfId="4092" xr:uid="{00000000-0005-0000-0000-00000B100000}"/>
    <cellStyle name="20% - Accent4 7 2 3 3" xfId="22281" xr:uid="{00000000-0005-0000-0000-00000C100000}"/>
    <cellStyle name="20% - Accent4 7 2 4" xfId="4093" xr:uid="{00000000-0005-0000-0000-00000D100000}"/>
    <cellStyle name="20% - Accent4 7 2 5" xfId="19694" xr:uid="{00000000-0005-0000-0000-00000E100000}"/>
    <cellStyle name="20% - Accent4 7 3" xfId="4094" xr:uid="{00000000-0005-0000-0000-00000F100000}"/>
    <cellStyle name="20% - Accent4 7 3 2" xfId="4095" xr:uid="{00000000-0005-0000-0000-000010100000}"/>
    <cellStyle name="20% - Accent4 7 3 2 2" xfId="4096" xr:uid="{00000000-0005-0000-0000-000011100000}"/>
    <cellStyle name="20% - Accent4 7 3 2 3" xfId="22926" xr:uid="{00000000-0005-0000-0000-000012100000}"/>
    <cellStyle name="20% - Accent4 7 3 3" xfId="4097" xr:uid="{00000000-0005-0000-0000-000013100000}"/>
    <cellStyle name="20% - Accent4 7 3 4" xfId="20343" xr:uid="{00000000-0005-0000-0000-000014100000}"/>
    <cellStyle name="20% - Accent4 7 4" xfId="4098" xr:uid="{00000000-0005-0000-0000-000015100000}"/>
    <cellStyle name="20% - Accent4 7 4 2" xfId="4099" xr:uid="{00000000-0005-0000-0000-000016100000}"/>
    <cellStyle name="20% - Accent4 7 4 3" xfId="21636" xr:uid="{00000000-0005-0000-0000-000017100000}"/>
    <cellStyle name="20% - Accent4 7 5" xfId="4100" xr:uid="{00000000-0005-0000-0000-000018100000}"/>
    <cellStyle name="20% - Accent4 7 6" xfId="19042" xr:uid="{00000000-0005-0000-0000-000019100000}"/>
    <cellStyle name="20% - Accent4 8" xfId="4101" xr:uid="{00000000-0005-0000-0000-00001A100000}"/>
    <cellStyle name="20% - Accent4 8 2" xfId="4102" xr:uid="{00000000-0005-0000-0000-00001B100000}"/>
    <cellStyle name="20% - Accent4 8 2 2" xfId="4103" xr:uid="{00000000-0005-0000-0000-00001C100000}"/>
    <cellStyle name="20% - Accent4 8 2 2 2" xfId="4104" xr:uid="{00000000-0005-0000-0000-00001D100000}"/>
    <cellStyle name="20% - Accent4 8 2 2 3" xfId="23248" xr:uid="{00000000-0005-0000-0000-00001E100000}"/>
    <cellStyle name="20% - Accent4 8 2 3" xfId="4105" xr:uid="{00000000-0005-0000-0000-00001F100000}"/>
    <cellStyle name="20% - Accent4 8 2 4" xfId="20665" xr:uid="{00000000-0005-0000-0000-000020100000}"/>
    <cellStyle name="20% - Accent4 8 3" xfId="4106" xr:uid="{00000000-0005-0000-0000-000021100000}"/>
    <cellStyle name="20% - Accent4 8 3 2" xfId="4107" xr:uid="{00000000-0005-0000-0000-000022100000}"/>
    <cellStyle name="20% - Accent4 8 3 3" xfId="21958" xr:uid="{00000000-0005-0000-0000-000023100000}"/>
    <cellStyle name="20% - Accent4 8 4" xfId="4108" xr:uid="{00000000-0005-0000-0000-000024100000}"/>
    <cellStyle name="20% - Accent4 8 5" xfId="19368" xr:uid="{00000000-0005-0000-0000-000025100000}"/>
    <cellStyle name="20% - Accent4 9" xfId="4109" xr:uid="{00000000-0005-0000-0000-000026100000}"/>
    <cellStyle name="20% - Accent4 9 2" xfId="4110" xr:uid="{00000000-0005-0000-0000-000027100000}"/>
    <cellStyle name="20% - Accent4 9 2 2" xfId="4111" xr:uid="{00000000-0005-0000-0000-000028100000}"/>
    <cellStyle name="20% - Accent4 9 2 3" xfId="22603" xr:uid="{00000000-0005-0000-0000-000029100000}"/>
    <cellStyle name="20% - Accent4 9 3" xfId="4112" xr:uid="{00000000-0005-0000-0000-00002A100000}"/>
    <cellStyle name="20% - Accent4 9 4" xfId="20016" xr:uid="{00000000-0005-0000-0000-00002B100000}"/>
    <cellStyle name="20% - Accent5 10" xfId="4113" xr:uid="{00000000-0005-0000-0000-00002C100000}"/>
    <cellStyle name="20% - Accent5 10 2" xfId="4114" xr:uid="{00000000-0005-0000-0000-00002D100000}"/>
    <cellStyle name="20% - Accent5 10 3" xfId="21311" xr:uid="{00000000-0005-0000-0000-00002E100000}"/>
    <cellStyle name="20% - Accent5 11" xfId="4115" xr:uid="{00000000-0005-0000-0000-00002F100000}"/>
    <cellStyle name="20% - Accent5 12" xfId="4116" xr:uid="{00000000-0005-0000-0000-000030100000}"/>
    <cellStyle name="20% - Accent5 13" xfId="4117" xr:uid="{00000000-0005-0000-0000-000031100000}"/>
    <cellStyle name="20% - Accent5 14" xfId="4118" xr:uid="{00000000-0005-0000-0000-000032100000}"/>
    <cellStyle name="20% - Accent5 15" xfId="18624" xr:uid="{00000000-0005-0000-0000-000033100000}"/>
    <cellStyle name="20% - Accent5 2" xfId="4119" xr:uid="{00000000-0005-0000-0000-000034100000}"/>
    <cellStyle name="20% - Accent5 2 10" xfId="4120" xr:uid="{00000000-0005-0000-0000-000035100000}"/>
    <cellStyle name="20% - Accent5 2 11" xfId="18634" xr:uid="{00000000-0005-0000-0000-000036100000}"/>
    <cellStyle name="20% - Accent5 2 2" xfId="4121" xr:uid="{00000000-0005-0000-0000-000037100000}"/>
    <cellStyle name="20% - Accent5 2 2 10" xfId="18727" xr:uid="{00000000-0005-0000-0000-000038100000}"/>
    <cellStyle name="20% - Accent5 2 2 2" xfId="4122" xr:uid="{00000000-0005-0000-0000-000039100000}"/>
    <cellStyle name="20% - Accent5 2 2 2 2" xfId="4123" xr:uid="{00000000-0005-0000-0000-00003A100000}"/>
    <cellStyle name="20% - Accent5 2 2 2 2 2" xfId="4124" xr:uid="{00000000-0005-0000-0000-00003B100000}"/>
    <cellStyle name="20% - Accent5 2 2 2 2 2 2" xfId="4125" xr:uid="{00000000-0005-0000-0000-00003C100000}"/>
    <cellStyle name="20% - Accent5 2 2 2 2 2 2 2" xfId="4126" xr:uid="{00000000-0005-0000-0000-00003D100000}"/>
    <cellStyle name="20% - Accent5 2 2 2 2 2 2 2 2" xfId="4127" xr:uid="{00000000-0005-0000-0000-00003E100000}"/>
    <cellStyle name="20% - Accent5 2 2 2 2 2 2 2 2 2" xfId="4128" xr:uid="{00000000-0005-0000-0000-00003F100000}"/>
    <cellStyle name="20% - Accent5 2 2 2 2 2 2 2 2 2 2" xfId="4129" xr:uid="{00000000-0005-0000-0000-000040100000}"/>
    <cellStyle name="20% - Accent5 2 2 2 2 2 2 2 2 2 3" xfId="23884" xr:uid="{00000000-0005-0000-0000-000041100000}"/>
    <cellStyle name="20% - Accent5 2 2 2 2 2 2 2 2 3" xfId="4130" xr:uid="{00000000-0005-0000-0000-000042100000}"/>
    <cellStyle name="20% - Accent5 2 2 2 2 2 2 2 2 4" xfId="21301" xr:uid="{00000000-0005-0000-0000-000043100000}"/>
    <cellStyle name="20% - Accent5 2 2 2 2 2 2 2 3" xfId="4131" xr:uid="{00000000-0005-0000-0000-000044100000}"/>
    <cellStyle name="20% - Accent5 2 2 2 2 2 2 2 3 2" xfId="4132" xr:uid="{00000000-0005-0000-0000-000045100000}"/>
    <cellStyle name="20% - Accent5 2 2 2 2 2 2 2 3 3" xfId="22594" xr:uid="{00000000-0005-0000-0000-000046100000}"/>
    <cellStyle name="20% - Accent5 2 2 2 2 2 2 2 4" xfId="4133" xr:uid="{00000000-0005-0000-0000-000047100000}"/>
    <cellStyle name="20% - Accent5 2 2 2 2 2 2 2 5" xfId="20007" xr:uid="{00000000-0005-0000-0000-000048100000}"/>
    <cellStyle name="20% - Accent5 2 2 2 2 2 2 3" xfId="4134" xr:uid="{00000000-0005-0000-0000-000049100000}"/>
    <cellStyle name="20% - Accent5 2 2 2 2 2 2 3 2" xfId="4135" xr:uid="{00000000-0005-0000-0000-00004A100000}"/>
    <cellStyle name="20% - Accent5 2 2 2 2 2 2 3 2 2" xfId="4136" xr:uid="{00000000-0005-0000-0000-00004B100000}"/>
    <cellStyle name="20% - Accent5 2 2 2 2 2 2 3 2 3" xfId="23239" xr:uid="{00000000-0005-0000-0000-00004C100000}"/>
    <cellStyle name="20% - Accent5 2 2 2 2 2 2 3 3" xfId="4137" xr:uid="{00000000-0005-0000-0000-00004D100000}"/>
    <cellStyle name="20% - Accent5 2 2 2 2 2 2 3 4" xfId="20656" xr:uid="{00000000-0005-0000-0000-00004E100000}"/>
    <cellStyle name="20% - Accent5 2 2 2 2 2 2 4" xfId="4138" xr:uid="{00000000-0005-0000-0000-00004F100000}"/>
    <cellStyle name="20% - Accent5 2 2 2 2 2 2 4 2" xfId="4139" xr:uid="{00000000-0005-0000-0000-000050100000}"/>
    <cellStyle name="20% - Accent5 2 2 2 2 2 2 4 3" xfId="21949" xr:uid="{00000000-0005-0000-0000-000051100000}"/>
    <cellStyle name="20% - Accent5 2 2 2 2 2 2 5" xfId="4140" xr:uid="{00000000-0005-0000-0000-000052100000}"/>
    <cellStyle name="20% - Accent5 2 2 2 2 2 2 6" xfId="19359" xr:uid="{00000000-0005-0000-0000-000053100000}"/>
    <cellStyle name="20% - Accent5 2 2 2 2 2 3" xfId="4141" xr:uid="{00000000-0005-0000-0000-000054100000}"/>
    <cellStyle name="20% - Accent5 2 2 2 2 2 3 2" xfId="4142" xr:uid="{00000000-0005-0000-0000-000055100000}"/>
    <cellStyle name="20% - Accent5 2 2 2 2 2 3 2 2" xfId="4143" xr:uid="{00000000-0005-0000-0000-000056100000}"/>
    <cellStyle name="20% - Accent5 2 2 2 2 2 3 2 2 2" xfId="4144" xr:uid="{00000000-0005-0000-0000-000057100000}"/>
    <cellStyle name="20% - Accent5 2 2 2 2 2 3 2 2 3" xfId="23562" xr:uid="{00000000-0005-0000-0000-000058100000}"/>
    <cellStyle name="20% - Accent5 2 2 2 2 2 3 2 3" xfId="4145" xr:uid="{00000000-0005-0000-0000-000059100000}"/>
    <cellStyle name="20% - Accent5 2 2 2 2 2 3 2 4" xfId="20979" xr:uid="{00000000-0005-0000-0000-00005A100000}"/>
    <cellStyle name="20% - Accent5 2 2 2 2 2 3 3" xfId="4146" xr:uid="{00000000-0005-0000-0000-00005B100000}"/>
    <cellStyle name="20% - Accent5 2 2 2 2 2 3 3 2" xfId="4147" xr:uid="{00000000-0005-0000-0000-00005C100000}"/>
    <cellStyle name="20% - Accent5 2 2 2 2 2 3 3 3" xfId="22272" xr:uid="{00000000-0005-0000-0000-00005D100000}"/>
    <cellStyle name="20% - Accent5 2 2 2 2 2 3 4" xfId="4148" xr:uid="{00000000-0005-0000-0000-00005E100000}"/>
    <cellStyle name="20% - Accent5 2 2 2 2 2 3 5" xfId="19685" xr:uid="{00000000-0005-0000-0000-00005F100000}"/>
    <cellStyle name="20% - Accent5 2 2 2 2 2 4" xfId="4149" xr:uid="{00000000-0005-0000-0000-000060100000}"/>
    <cellStyle name="20% - Accent5 2 2 2 2 2 4 2" xfId="4150" xr:uid="{00000000-0005-0000-0000-000061100000}"/>
    <cellStyle name="20% - Accent5 2 2 2 2 2 4 2 2" xfId="4151" xr:uid="{00000000-0005-0000-0000-000062100000}"/>
    <cellStyle name="20% - Accent5 2 2 2 2 2 4 2 3" xfId="22917" xr:uid="{00000000-0005-0000-0000-000063100000}"/>
    <cellStyle name="20% - Accent5 2 2 2 2 2 4 3" xfId="4152" xr:uid="{00000000-0005-0000-0000-000064100000}"/>
    <cellStyle name="20% - Accent5 2 2 2 2 2 4 4" xfId="20334" xr:uid="{00000000-0005-0000-0000-000065100000}"/>
    <cellStyle name="20% - Accent5 2 2 2 2 2 5" xfId="4153" xr:uid="{00000000-0005-0000-0000-000066100000}"/>
    <cellStyle name="20% - Accent5 2 2 2 2 2 5 2" xfId="4154" xr:uid="{00000000-0005-0000-0000-000067100000}"/>
    <cellStyle name="20% - Accent5 2 2 2 2 2 5 3" xfId="21627" xr:uid="{00000000-0005-0000-0000-000068100000}"/>
    <cellStyle name="20% - Accent5 2 2 2 2 2 6" xfId="4155" xr:uid="{00000000-0005-0000-0000-000069100000}"/>
    <cellStyle name="20% - Accent5 2 2 2 2 2 7" xfId="19033" xr:uid="{00000000-0005-0000-0000-00006A100000}"/>
    <cellStyle name="20% - Accent5 2 2 2 2 3" xfId="4156" xr:uid="{00000000-0005-0000-0000-00006B100000}"/>
    <cellStyle name="20% - Accent5 2 2 2 2 3 2" xfId="4157" xr:uid="{00000000-0005-0000-0000-00006C100000}"/>
    <cellStyle name="20% - Accent5 2 2 2 2 3 2 2" xfId="4158" xr:uid="{00000000-0005-0000-0000-00006D100000}"/>
    <cellStyle name="20% - Accent5 2 2 2 2 3 2 2 2" xfId="4159" xr:uid="{00000000-0005-0000-0000-00006E100000}"/>
    <cellStyle name="20% - Accent5 2 2 2 2 3 2 2 2 2" xfId="4160" xr:uid="{00000000-0005-0000-0000-00006F100000}"/>
    <cellStyle name="20% - Accent5 2 2 2 2 3 2 2 2 3" xfId="23723" xr:uid="{00000000-0005-0000-0000-000070100000}"/>
    <cellStyle name="20% - Accent5 2 2 2 2 3 2 2 3" xfId="4161" xr:uid="{00000000-0005-0000-0000-000071100000}"/>
    <cellStyle name="20% - Accent5 2 2 2 2 3 2 2 4" xfId="21140" xr:uid="{00000000-0005-0000-0000-000072100000}"/>
    <cellStyle name="20% - Accent5 2 2 2 2 3 2 3" xfId="4162" xr:uid="{00000000-0005-0000-0000-000073100000}"/>
    <cellStyle name="20% - Accent5 2 2 2 2 3 2 3 2" xfId="4163" xr:uid="{00000000-0005-0000-0000-000074100000}"/>
    <cellStyle name="20% - Accent5 2 2 2 2 3 2 3 3" xfId="22433" xr:uid="{00000000-0005-0000-0000-000075100000}"/>
    <cellStyle name="20% - Accent5 2 2 2 2 3 2 4" xfId="4164" xr:uid="{00000000-0005-0000-0000-000076100000}"/>
    <cellStyle name="20% - Accent5 2 2 2 2 3 2 5" xfId="19846" xr:uid="{00000000-0005-0000-0000-000077100000}"/>
    <cellStyle name="20% - Accent5 2 2 2 2 3 3" xfId="4165" xr:uid="{00000000-0005-0000-0000-000078100000}"/>
    <cellStyle name="20% - Accent5 2 2 2 2 3 3 2" xfId="4166" xr:uid="{00000000-0005-0000-0000-000079100000}"/>
    <cellStyle name="20% - Accent5 2 2 2 2 3 3 2 2" xfId="4167" xr:uid="{00000000-0005-0000-0000-00007A100000}"/>
    <cellStyle name="20% - Accent5 2 2 2 2 3 3 2 3" xfId="23078" xr:uid="{00000000-0005-0000-0000-00007B100000}"/>
    <cellStyle name="20% - Accent5 2 2 2 2 3 3 3" xfId="4168" xr:uid="{00000000-0005-0000-0000-00007C100000}"/>
    <cellStyle name="20% - Accent5 2 2 2 2 3 3 4" xfId="20495" xr:uid="{00000000-0005-0000-0000-00007D100000}"/>
    <cellStyle name="20% - Accent5 2 2 2 2 3 4" xfId="4169" xr:uid="{00000000-0005-0000-0000-00007E100000}"/>
    <cellStyle name="20% - Accent5 2 2 2 2 3 4 2" xfId="4170" xr:uid="{00000000-0005-0000-0000-00007F100000}"/>
    <cellStyle name="20% - Accent5 2 2 2 2 3 4 3" xfId="21788" xr:uid="{00000000-0005-0000-0000-000080100000}"/>
    <cellStyle name="20% - Accent5 2 2 2 2 3 5" xfId="4171" xr:uid="{00000000-0005-0000-0000-000081100000}"/>
    <cellStyle name="20% - Accent5 2 2 2 2 3 6" xfId="19198" xr:uid="{00000000-0005-0000-0000-000082100000}"/>
    <cellStyle name="20% - Accent5 2 2 2 2 4" xfId="4172" xr:uid="{00000000-0005-0000-0000-000083100000}"/>
    <cellStyle name="20% - Accent5 2 2 2 2 4 2" xfId="4173" xr:uid="{00000000-0005-0000-0000-000084100000}"/>
    <cellStyle name="20% - Accent5 2 2 2 2 4 2 2" xfId="4174" xr:uid="{00000000-0005-0000-0000-000085100000}"/>
    <cellStyle name="20% - Accent5 2 2 2 2 4 2 2 2" xfId="4175" xr:uid="{00000000-0005-0000-0000-000086100000}"/>
    <cellStyle name="20% - Accent5 2 2 2 2 4 2 2 3" xfId="23401" xr:uid="{00000000-0005-0000-0000-000087100000}"/>
    <cellStyle name="20% - Accent5 2 2 2 2 4 2 3" xfId="4176" xr:uid="{00000000-0005-0000-0000-000088100000}"/>
    <cellStyle name="20% - Accent5 2 2 2 2 4 2 4" xfId="20818" xr:uid="{00000000-0005-0000-0000-000089100000}"/>
    <cellStyle name="20% - Accent5 2 2 2 2 4 3" xfId="4177" xr:uid="{00000000-0005-0000-0000-00008A100000}"/>
    <cellStyle name="20% - Accent5 2 2 2 2 4 3 2" xfId="4178" xr:uid="{00000000-0005-0000-0000-00008B100000}"/>
    <cellStyle name="20% - Accent5 2 2 2 2 4 3 3" xfId="22111" xr:uid="{00000000-0005-0000-0000-00008C100000}"/>
    <cellStyle name="20% - Accent5 2 2 2 2 4 4" xfId="4179" xr:uid="{00000000-0005-0000-0000-00008D100000}"/>
    <cellStyle name="20% - Accent5 2 2 2 2 4 5" xfId="19524" xr:uid="{00000000-0005-0000-0000-00008E100000}"/>
    <cellStyle name="20% - Accent5 2 2 2 2 5" xfId="4180" xr:uid="{00000000-0005-0000-0000-00008F100000}"/>
    <cellStyle name="20% - Accent5 2 2 2 2 5 2" xfId="4181" xr:uid="{00000000-0005-0000-0000-000090100000}"/>
    <cellStyle name="20% - Accent5 2 2 2 2 5 2 2" xfId="4182" xr:uid="{00000000-0005-0000-0000-000091100000}"/>
    <cellStyle name="20% - Accent5 2 2 2 2 5 2 3" xfId="22756" xr:uid="{00000000-0005-0000-0000-000092100000}"/>
    <cellStyle name="20% - Accent5 2 2 2 2 5 3" xfId="4183" xr:uid="{00000000-0005-0000-0000-000093100000}"/>
    <cellStyle name="20% - Accent5 2 2 2 2 5 4" xfId="20173" xr:uid="{00000000-0005-0000-0000-000094100000}"/>
    <cellStyle name="20% - Accent5 2 2 2 2 6" xfId="4184" xr:uid="{00000000-0005-0000-0000-000095100000}"/>
    <cellStyle name="20% - Accent5 2 2 2 2 6 2" xfId="4185" xr:uid="{00000000-0005-0000-0000-000096100000}"/>
    <cellStyle name="20% - Accent5 2 2 2 2 6 3" xfId="21466" xr:uid="{00000000-0005-0000-0000-000097100000}"/>
    <cellStyle name="20% - Accent5 2 2 2 2 7" xfId="4186" xr:uid="{00000000-0005-0000-0000-000098100000}"/>
    <cellStyle name="20% - Accent5 2 2 2 2 8" xfId="18868" xr:uid="{00000000-0005-0000-0000-000099100000}"/>
    <cellStyle name="20% - Accent5 2 2 2 3" xfId="4187" xr:uid="{00000000-0005-0000-0000-00009A100000}"/>
    <cellStyle name="20% - Accent5 2 2 2 3 2" xfId="4188" xr:uid="{00000000-0005-0000-0000-00009B100000}"/>
    <cellStyle name="20% - Accent5 2 2 2 3 2 2" xfId="4189" xr:uid="{00000000-0005-0000-0000-00009C100000}"/>
    <cellStyle name="20% - Accent5 2 2 2 3 2 2 2" xfId="4190" xr:uid="{00000000-0005-0000-0000-00009D100000}"/>
    <cellStyle name="20% - Accent5 2 2 2 3 2 2 2 2" xfId="4191" xr:uid="{00000000-0005-0000-0000-00009E100000}"/>
    <cellStyle name="20% - Accent5 2 2 2 3 2 2 2 2 2" xfId="4192" xr:uid="{00000000-0005-0000-0000-00009F100000}"/>
    <cellStyle name="20% - Accent5 2 2 2 3 2 2 2 2 3" xfId="23804" xr:uid="{00000000-0005-0000-0000-0000A0100000}"/>
    <cellStyle name="20% - Accent5 2 2 2 3 2 2 2 3" xfId="4193" xr:uid="{00000000-0005-0000-0000-0000A1100000}"/>
    <cellStyle name="20% - Accent5 2 2 2 3 2 2 2 4" xfId="21221" xr:uid="{00000000-0005-0000-0000-0000A2100000}"/>
    <cellStyle name="20% - Accent5 2 2 2 3 2 2 3" xfId="4194" xr:uid="{00000000-0005-0000-0000-0000A3100000}"/>
    <cellStyle name="20% - Accent5 2 2 2 3 2 2 3 2" xfId="4195" xr:uid="{00000000-0005-0000-0000-0000A4100000}"/>
    <cellStyle name="20% - Accent5 2 2 2 3 2 2 3 3" xfId="22514" xr:uid="{00000000-0005-0000-0000-0000A5100000}"/>
    <cellStyle name="20% - Accent5 2 2 2 3 2 2 4" xfId="4196" xr:uid="{00000000-0005-0000-0000-0000A6100000}"/>
    <cellStyle name="20% - Accent5 2 2 2 3 2 2 5" xfId="19927" xr:uid="{00000000-0005-0000-0000-0000A7100000}"/>
    <cellStyle name="20% - Accent5 2 2 2 3 2 3" xfId="4197" xr:uid="{00000000-0005-0000-0000-0000A8100000}"/>
    <cellStyle name="20% - Accent5 2 2 2 3 2 3 2" xfId="4198" xr:uid="{00000000-0005-0000-0000-0000A9100000}"/>
    <cellStyle name="20% - Accent5 2 2 2 3 2 3 2 2" xfId="4199" xr:uid="{00000000-0005-0000-0000-0000AA100000}"/>
    <cellStyle name="20% - Accent5 2 2 2 3 2 3 2 3" xfId="23159" xr:uid="{00000000-0005-0000-0000-0000AB100000}"/>
    <cellStyle name="20% - Accent5 2 2 2 3 2 3 3" xfId="4200" xr:uid="{00000000-0005-0000-0000-0000AC100000}"/>
    <cellStyle name="20% - Accent5 2 2 2 3 2 3 4" xfId="20576" xr:uid="{00000000-0005-0000-0000-0000AD100000}"/>
    <cellStyle name="20% - Accent5 2 2 2 3 2 4" xfId="4201" xr:uid="{00000000-0005-0000-0000-0000AE100000}"/>
    <cellStyle name="20% - Accent5 2 2 2 3 2 4 2" xfId="4202" xr:uid="{00000000-0005-0000-0000-0000AF100000}"/>
    <cellStyle name="20% - Accent5 2 2 2 3 2 4 3" xfId="21869" xr:uid="{00000000-0005-0000-0000-0000B0100000}"/>
    <cellStyle name="20% - Accent5 2 2 2 3 2 5" xfId="4203" xr:uid="{00000000-0005-0000-0000-0000B1100000}"/>
    <cellStyle name="20% - Accent5 2 2 2 3 2 6" xfId="19279" xr:uid="{00000000-0005-0000-0000-0000B2100000}"/>
    <cellStyle name="20% - Accent5 2 2 2 3 3" xfId="4204" xr:uid="{00000000-0005-0000-0000-0000B3100000}"/>
    <cellStyle name="20% - Accent5 2 2 2 3 3 2" xfId="4205" xr:uid="{00000000-0005-0000-0000-0000B4100000}"/>
    <cellStyle name="20% - Accent5 2 2 2 3 3 2 2" xfId="4206" xr:uid="{00000000-0005-0000-0000-0000B5100000}"/>
    <cellStyle name="20% - Accent5 2 2 2 3 3 2 2 2" xfId="4207" xr:uid="{00000000-0005-0000-0000-0000B6100000}"/>
    <cellStyle name="20% - Accent5 2 2 2 3 3 2 2 3" xfId="23482" xr:uid="{00000000-0005-0000-0000-0000B7100000}"/>
    <cellStyle name="20% - Accent5 2 2 2 3 3 2 3" xfId="4208" xr:uid="{00000000-0005-0000-0000-0000B8100000}"/>
    <cellStyle name="20% - Accent5 2 2 2 3 3 2 4" xfId="20899" xr:uid="{00000000-0005-0000-0000-0000B9100000}"/>
    <cellStyle name="20% - Accent5 2 2 2 3 3 3" xfId="4209" xr:uid="{00000000-0005-0000-0000-0000BA100000}"/>
    <cellStyle name="20% - Accent5 2 2 2 3 3 3 2" xfId="4210" xr:uid="{00000000-0005-0000-0000-0000BB100000}"/>
    <cellStyle name="20% - Accent5 2 2 2 3 3 3 3" xfId="22192" xr:uid="{00000000-0005-0000-0000-0000BC100000}"/>
    <cellStyle name="20% - Accent5 2 2 2 3 3 4" xfId="4211" xr:uid="{00000000-0005-0000-0000-0000BD100000}"/>
    <cellStyle name="20% - Accent5 2 2 2 3 3 5" xfId="19605" xr:uid="{00000000-0005-0000-0000-0000BE100000}"/>
    <cellStyle name="20% - Accent5 2 2 2 3 4" xfId="4212" xr:uid="{00000000-0005-0000-0000-0000BF100000}"/>
    <cellStyle name="20% - Accent5 2 2 2 3 4 2" xfId="4213" xr:uid="{00000000-0005-0000-0000-0000C0100000}"/>
    <cellStyle name="20% - Accent5 2 2 2 3 4 2 2" xfId="4214" xr:uid="{00000000-0005-0000-0000-0000C1100000}"/>
    <cellStyle name="20% - Accent5 2 2 2 3 4 2 3" xfId="22837" xr:uid="{00000000-0005-0000-0000-0000C2100000}"/>
    <cellStyle name="20% - Accent5 2 2 2 3 4 3" xfId="4215" xr:uid="{00000000-0005-0000-0000-0000C3100000}"/>
    <cellStyle name="20% - Accent5 2 2 2 3 4 4" xfId="20254" xr:uid="{00000000-0005-0000-0000-0000C4100000}"/>
    <cellStyle name="20% - Accent5 2 2 2 3 5" xfId="4216" xr:uid="{00000000-0005-0000-0000-0000C5100000}"/>
    <cellStyle name="20% - Accent5 2 2 2 3 5 2" xfId="4217" xr:uid="{00000000-0005-0000-0000-0000C6100000}"/>
    <cellStyle name="20% - Accent5 2 2 2 3 5 3" xfId="21547" xr:uid="{00000000-0005-0000-0000-0000C7100000}"/>
    <cellStyle name="20% - Accent5 2 2 2 3 6" xfId="4218" xr:uid="{00000000-0005-0000-0000-0000C8100000}"/>
    <cellStyle name="20% - Accent5 2 2 2 3 7" xfId="18953" xr:uid="{00000000-0005-0000-0000-0000C9100000}"/>
    <cellStyle name="20% - Accent5 2 2 2 4" xfId="4219" xr:uid="{00000000-0005-0000-0000-0000CA100000}"/>
    <cellStyle name="20% - Accent5 2 2 2 4 2" xfId="4220" xr:uid="{00000000-0005-0000-0000-0000CB100000}"/>
    <cellStyle name="20% - Accent5 2 2 2 4 2 2" xfId="4221" xr:uid="{00000000-0005-0000-0000-0000CC100000}"/>
    <cellStyle name="20% - Accent5 2 2 2 4 2 2 2" xfId="4222" xr:uid="{00000000-0005-0000-0000-0000CD100000}"/>
    <cellStyle name="20% - Accent5 2 2 2 4 2 2 2 2" xfId="4223" xr:uid="{00000000-0005-0000-0000-0000CE100000}"/>
    <cellStyle name="20% - Accent5 2 2 2 4 2 2 2 3" xfId="23643" xr:uid="{00000000-0005-0000-0000-0000CF100000}"/>
    <cellStyle name="20% - Accent5 2 2 2 4 2 2 3" xfId="4224" xr:uid="{00000000-0005-0000-0000-0000D0100000}"/>
    <cellStyle name="20% - Accent5 2 2 2 4 2 2 4" xfId="21060" xr:uid="{00000000-0005-0000-0000-0000D1100000}"/>
    <cellStyle name="20% - Accent5 2 2 2 4 2 3" xfId="4225" xr:uid="{00000000-0005-0000-0000-0000D2100000}"/>
    <cellStyle name="20% - Accent5 2 2 2 4 2 3 2" xfId="4226" xr:uid="{00000000-0005-0000-0000-0000D3100000}"/>
    <cellStyle name="20% - Accent5 2 2 2 4 2 3 3" xfId="22353" xr:uid="{00000000-0005-0000-0000-0000D4100000}"/>
    <cellStyle name="20% - Accent5 2 2 2 4 2 4" xfId="4227" xr:uid="{00000000-0005-0000-0000-0000D5100000}"/>
    <cellStyle name="20% - Accent5 2 2 2 4 2 5" xfId="19766" xr:uid="{00000000-0005-0000-0000-0000D6100000}"/>
    <cellStyle name="20% - Accent5 2 2 2 4 3" xfId="4228" xr:uid="{00000000-0005-0000-0000-0000D7100000}"/>
    <cellStyle name="20% - Accent5 2 2 2 4 3 2" xfId="4229" xr:uid="{00000000-0005-0000-0000-0000D8100000}"/>
    <cellStyle name="20% - Accent5 2 2 2 4 3 2 2" xfId="4230" xr:uid="{00000000-0005-0000-0000-0000D9100000}"/>
    <cellStyle name="20% - Accent5 2 2 2 4 3 2 3" xfId="22998" xr:uid="{00000000-0005-0000-0000-0000DA100000}"/>
    <cellStyle name="20% - Accent5 2 2 2 4 3 3" xfId="4231" xr:uid="{00000000-0005-0000-0000-0000DB100000}"/>
    <cellStyle name="20% - Accent5 2 2 2 4 3 4" xfId="20415" xr:uid="{00000000-0005-0000-0000-0000DC100000}"/>
    <cellStyle name="20% - Accent5 2 2 2 4 4" xfId="4232" xr:uid="{00000000-0005-0000-0000-0000DD100000}"/>
    <cellStyle name="20% - Accent5 2 2 2 4 4 2" xfId="4233" xr:uid="{00000000-0005-0000-0000-0000DE100000}"/>
    <cellStyle name="20% - Accent5 2 2 2 4 4 3" xfId="21708" xr:uid="{00000000-0005-0000-0000-0000DF100000}"/>
    <cellStyle name="20% - Accent5 2 2 2 4 5" xfId="4234" xr:uid="{00000000-0005-0000-0000-0000E0100000}"/>
    <cellStyle name="20% - Accent5 2 2 2 4 6" xfId="19118" xr:uid="{00000000-0005-0000-0000-0000E1100000}"/>
    <cellStyle name="20% - Accent5 2 2 2 5" xfId="4235" xr:uid="{00000000-0005-0000-0000-0000E2100000}"/>
    <cellStyle name="20% - Accent5 2 2 2 5 2" xfId="4236" xr:uid="{00000000-0005-0000-0000-0000E3100000}"/>
    <cellStyle name="20% - Accent5 2 2 2 5 2 2" xfId="4237" xr:uid="{00000000-0005-0000-0000-0000E4100000}"/>
    <cellStyle name="20% - Accent5 2 2 2 5 2 2 2" xfId="4238" xr:uid="{00000000-0005-0000-0000-0000E5100000}"/>
    <cellStyle name="20% - Accent5 2 2 2 5 2 2 3" xfId="23320" xr:uid="{00000000-0005-0000-0000-0000E6100000}"/>
    <cellStyle name="20% - Accent5 2 2 2 5 2 3" xfId="4239" xr:uid="{00000000-0005-0000-0000-0000E7100000}"/>
    <cellStyle name="20% - Accent5 2 2 2 5 2 4" xfId="20737" xr:uid="{00000000-0005-0000-0000-0000E8100000}"/>
    <cellStyle name="20% - Accent5 2 2 2 5 3" xfId="4240" xr:uid="{00000000-0005-0000-0000-0000E9100000}"/>
    <cellStyle name="20% - Accent5 2 2 2 5 3 2" xfId="4241" xr:uid="{00000000-0005-0000-0000-0000EA100000}"/>
    <cellStyle name="20% - Accent5 2 2 2 5 3 3" xfId="22030" xr:uid="{00000000-0005-0000-0000-0000EB100000}"/>
    <cellStyle name="20% - Accent5 2 2 2 5 4" xfId="4242" xr:uid="{00000000-0005-0000-0000-0000EC100000}"/>
    <cellStyle name="20% - Accent5 2 2 2 5 5" xfId="19444" xr:uid="{00000000-0005-0000-0000-0000ED100000}"/>
    <cellStyle name="20% - Accent5 2 2 2 6" xfId="4243" xr:uid="{00000000-0005-0000-0000-0000EE100000}"/>
    <cellStyle name="20% - Accent5 2 2 2 6 2" xfId="4244" xr:uid="{00000000-0005-0000-0000-0000EF100000}"/>
    <cellStyle name="20% - Accent5 2 2 2 6 2 2" xfId="4245" xr:uid="{00000000-0005-0000-0000-0000F0100000}"/>
    <cellStyle name="20% - Accent5 2 2 2 6 2 3" xfId="22675" xr:uid="{00000000-0005-0000-0000-0000F1100000}"/>
    <cellStyle name="20% - Accent5 2 2 2 6 3" xfId="4246" xr:uid="{00000000-0005-0000-0000-0000F2100000}"/>
    <cellStyle name="20% - Accent5 2 2 2 6 4" xfId="20092" xr:uid="{00000000-0005-0000-0000-0000F3100000}"/>
    <cellStyle name="20% - Accent5 2 2 2 7" xfId="4247" xr:uid="{00000000-0005-0000-0000-0000F4100000}"/>
    <cellStyle name="20% - Accent5 2 2 2 7 2" xfId="4248" xr:uid="{00000000-0005-0000-0000-0000F5100000}"/>
    <cellStyle name="20% - Accent5 2 2 2 7 3" xfId="21385" xr:uid="{00000000-0005-0000-0000-0000F6100000}"/>
    <cellStyle name="20% - Accent5 2 2 2 8" xfId="4249" xr:uid="{00000000-0005-0000-0000-0000F7100000}"/>
    <cellStyle name="20% - Accent5 2 2 2 9" xfId="18771" xr:uid="{00000000-0005-0000-0000-0000F8100000}"/>
    <cellStyle name="20% - Accent5 2 2 3" xfId="4250" xr:uid="{00000000-0005-0000-0000-0000F9100000}"/>
    <cellStyle name="20% - Accent5 2 2 3 2" xfId="4251" xr:uid="{00000000-0005-0000-0000-0000FA100000}"/>
    <cellStyle name="20% - Accent5 2 2 3 2 2" xfId="4252" xr:uid="{00000000-0005-0000-0000-0000FB100000}"/>
    <cellStyle name="20% - Accent5 2 2 3 2 2 2" xfId="4253" xr:uid="{00000000-0005-0000-0000-0000FC100000}"/>
    <cellStyle name="20% - Accent5 2 2 3 2 2 2 2" xfId="4254" xr:uid="{00000000-0005-0000-0000-0000FD100000}"/>
    <cellStyle name="20% - Accent5 2 2 3 2 2 2 2 2" xfId="4255" xr:uid="{00000000-0005-0000-0000-0000FE100000}"/>
    <cellStyle name="20% - Accent5 2 2 3 2 2 2 2 2 2" xfId="4256" xr:uid="{00000000-0005-0000-0000-0000FF100000}"/>
    <cellStyle name="20% - Accent5 2 2 3 2 2 2 2 2 3" xfId="23844" xr:uid="{00000000-0005-0000-0000-000000110000}"/>
    <cellStyle name="20% - Accent5 2 2 3 2 2 2 2 3" xfId="4257" xr:uid="{00000000-0005-0000-0000-000001110000}"/>
    <cellStyle name="20% - Accent5 2 2 3 2 2 2 2 4" xfId="21261" xr:uid="{00000000-0005-0000-0000-000002110000}"/>
    <cellStyle name="20% - Accent5 2 2 3 2 2 2 3" xfId="4258" xr:uid="{00000000-0005-0000-0000-000003110000}"/>
    <cellStyle name="20% - Accent5 2 2 3 2 2 2 3 2" xfId="4259" xr:uid="{00000000-0005-0000-0000-000004110000}"/>
    <cellStyle name="20% - Accent5 2 2 3 2 2 2 3 3" xfId="22554" xr:uid="{00000000-0005-0000-0000-000005110000}"/>
    <cellStyle name="20% - Accent5 2 2 3 2 2 2 4" xfId="4260" xr:uid="{00000000-0005-0000-0000-000006110000}"/>
    <cellStyle name="20% - Accent5 2 2 3 2 2 2 5" xfId="19967" xr:uid="{00000000-0005-0000-0000-000007110000}"/>
    <cellStyle name="20% - Accent5 2 2 3 2 2 3" xfId="4261" xr:uid="{00000000-0005-0000-0000-000008110000}"/>
    <cellStyle name="20% - Accent5 2 2 3 2 2 3 2" xfId="4262" xr:uid="{00000000-0005-0000-0000-000009110000}"/>
    <cellStyle name="20% - Accent5 2 2 3 2 2 3 2 2" xfId="4263" xr:uid="{00000000-0005-0000-0000-00000A110000}"/>
    <cellStyle name="20% - Accent5 2 2 3 2 2 3 2 3" xfId="23199" xr:uid="{00000000-0005-0000-0000-00000B110000}"/>
    <cellStyle name="20% - Accent5 2 2 3 2 2 3 3" xfId="4264" xr:uid="{00000000-0005-0000-0000-00000C110000}"/>
    <cellStyle name="20% - Accent5 2 2 3 2 2 3 4" xfId="20616" xr:uid="{00000000-0005-0000-0000-00000D110000}"/>
    <cellStyle name="20% - Accent5 2 2 3 2 2 4" xfId="4265" xr:uid="{00000000-0005-0000-0000-00000E110000}"/>
    <cellStyle name="20% - Accent5 2 2 3 2 2 4 2" xfId="4266" xr:uid="{00000000-0005-0000-0000-00000F110000}"/>
    <cellStyle name="20% - Accent5 2 2 3 2 2 4 3" xfId="21909" xr:uid="{00000000-0005-0000-0000-000010110000}"/>
    <cellStyle name="20% - Accent5 2 2 3 2 2 5" xfId="4267" xr:uid="{00000000-0005-0000-0000-000011110000}"/>
    <cellStyle name="20% - Accent5 2 2 3 2 2 6" xfId="19319" xr:uid="{00000000-0005-0000-0000-000012110000}"/>
    <cellStyle name="20% - Accent5 2 2 3 2 3" xfId="4268" xr:uid="{00000000-0005-0000-0000-000013110000}"/>
    <cellStyle name="20% - Accent5 2 2 3 2 3 2" xfId="4269" xr:uid="{00000000-0005-0000-0000-000014110000}"/>
    <cellStyle name="20% - Accent5 2 2 3 2 3 2 2" xfId="4270" xr:uid="{00000000-0005-0000-0000-000015110000}"/>
    <cellStyle name="20% - Accent5 2 2 3 2 3 2 2 2" xfId="4271" xr:uid="{00000000-0005-0000-0000-000016110000}"/>
    <cellStyle name="20% - Accent5 2 2 3 2 3 2 2 3" xfId="23522" xr:uid="{00000000-0005-0000-0000-000017110000}"/>
    <cellStyle name="20% - Accent5 2 2 3 2 3 2 3" xfId="4272" xr:uid="{00000000-0005-0000-0000-000018110000}"/>
    <cellStyle name="20% - Accent5 2 2 3 2 3 2 4" xfId="20939" xr:uid="{00000000-0005-0000-0000-000019110000}"/>
    <cellStyle name="20% - Accent5 2 2 3 2 3 3" xfId="4273" xr:uid="{00000000-0005-0000-0000-00001A110000}"/>
    <cellStyle name="20% - Accent5 2 2 3 2 3 3 2" xfId="4274" xr:uid="{00000000-0005-0000-0000-00001B110000}"/>
    <cellStyle name="20% - Accent5 2 2 3 2 3 3 3" xfId="22232" xr:uid="{00000000-0005-0000-0000-00001C110000}"/>
    <cellStyle name="20% - Accent5 2 2 3 2 3 4" xfId="4275" xr:uid="{00000000-0005-0000-0000-00001D110000}"/>
    <cellStyle name="20% - Accent5 2 2 3 2 3 5" xfId="19645" xr:uid="{00000000-0005-0000-0000-00001E110000}"/>
    <cellStyle name="20% - Accent5 2 2 3 2 4" xfId="4276" xr:uid="{00000000-0005-0000-0000-00001F110000}"/>
    <cellStyle name="20% - Accent5 2 2 3 2 4 2" xfId="4277" xr:uid="{00000000-0005-0000-0000-000020110000}"/>
    <cellStyle name="20% - Accent5 2 2 3 2 4 2 2" xfId="4278" xr:uid="{00000000-0005-0000-0000-000021110000}"/>
    <cellStyle name="20% - Accent5 2 2 3 2 4 2 3" xfId="22877" xr:uid="{00000000-0005-0000-0000-000022110000}"/>
    <cellStyle name="20% - Accent5 2 2 3 2 4 3" xfId="4279" xr:uid="{00000000-0005-0000-0000-000023110000}"/>
    <cellStyle name="20% - Accent5 2 2 3 2 4 4" xfId="20294" xr:uid="{00000000-0005-0000-0000-000024110000}"/>
    <cellStyle name="20% - Accent5 2 2 3 2 5" xfId="4280" xr:uid="{00000000-0005-0000-0000-000025110000}"/>
    <cellStyle name="20% - Accent5 2 2 3 2 5 2" xfId="4281" xr:uid="{00000000-0005-0000-0000-000026110000}"/>
    <cellStyle name="20% - Accent5 2 2 3 2 5 3" xfId="21587" xr:uid="{00000000-0005-0000-0000-000027110000}"/>
    <cellStyle name="20% - Accent5 2 2 3 2 6" xfId="4282" xr:uid="{00000000-0005-0000-0000-000028110000}"/>
    <cellStyle name="20% - Accent5 2 2 3 2 7" xfId="18993" xr:uid="{00000000-0005-0000-0000-000029110000}"/>
    <cellStyle name="20% - Accent5 2 2 3 3" xfId="4283" xr:uid="{00000000-0005-0000-0000-00002A110000}"/>
    <cellStyle name="20% - Accent5 2 2 3 3 2" xfId="4284" xr:uid="{00000000-0005-0000-0000-00002B110000}"/>
    <cellStyle name="20% - Accent5 2 2 3 3 2 2" xfId="4285" xr:uid="{00000000-0005-0000-0000-00002C110000}"/>
    <cellStyle name="20% - Accent5 2 2 3 3 2 2 2" xfId="4286" xr:uid="{00000000-0005-0000-0000-00002D110000}"/>
    <cellStyle name="20% - Accent5 2 2 3 3 2 2 2 2" xfId="4287" xr:uid="{00000000-0005-0000-0000-00002E110000}"/>
    <cellStyle name="20% - Accent5 2 2 3 3 2 2 2 3" xfId="23683" xr:uid="{00000000-0005-0000-0000-00002F110000}"/>
    <cellStyle name="20% - Accent5 2 2 3 3 2 2 3" xfId="4288" xr:uid="{00000000-0005-0000-0000-000030110000}"/>
    <cellStyle name="20% - Accent5 2 2 3 3 2 2 4" xfId="21100" xr:uid="{00000000-0005-0000-0000-000031110000}"/>
    <cellStyle name="20% - Accent5 2 2 3 3 2 3" xfId="4289" xr:uid="{00000000-0005-0000-0000-000032110000}"/>
    <cellStyle name="20% - Accent5 2 2 3 3 2 3 2" xfId="4290" xr:uid="{00000000-0005-0000-0000-000033110000}"/>
    <cellStyle name="20% - Accent5 2 2 3 3 2 3 3" xfId="22393" xr:uid="{00000000-0005-0000-0000-000034110000}"/>
    <cellStyle name="20% - Accent5 2 2 3 3 2 4" xfId="4291" xr:uid="{00000000-0005-0000-0000-000035110000}"/>
    <cellStyle name="20% - Accent5 2 2 3 3 2 5" xfId="19806" xr:uid="{00000000-0005-0000-0000-000036110000}"/>
    <cellStyle name="20% - Accent5 2 2 3 3 3" xfId="4292" xr:uid="{00000000-0005-0000-0000-000037110000}"/>
    <cellStyle name="20% - Accent5 2 2 3 3 3 2" xfId="4293" xr:uid="{00000000-0005-0000-0000-000038110000}"/>
    <cellStyle name="20% - Accent5 2 2 3 3 3 2 2" xfId="4294" xr:uid="{00000000-0005-0000-0000-000039110000}"/>
    <cellStyle name="20% - Accent5 2 2 3 3 3 2 3" xfId="23038" xr:uid="{00000000-0005-0000-0000-00003A110000}"/>
    <cellStyle name="20% - Accent5 2 2 3 3 3 3" xfId="4295" xr:uid="{00000000-0005-0000-0000-00003B110000}"/>
    <cellStyle name="20% - Accent5 2 2 3 3 3 4" xfId="20455" xr:uid="{00000000-0005-0000-0000-00003C110000}"/>
    <cellStyle name="20% - Accent5 2 2 3 3 4" xfId="4296" xr:uid="{00000000-0005-0000-0000-00003D110000}"/>
    <cellStyle name="20% - Accent5 2 2 3 3 4 2" xfId="4297" xr:uid="{00000000-0005-0000-0000-00003E110000}"/>
    <cellStyle name="20% - Accent5 2 2 3 3 4 3" xfId="21748" xr:uid="{00000000-0005-0000-0000-00003F110000}"/>
    <cellStyle name="20% - Accent5 2 2 3 3 5" xfId="4298" xr:uid="{00000000-0005-0000-0000-000040110000}"/>
    <cellStyle name="20% - Accent5 2 2 3 3 6" xfId="19158" xr:uid="{00000000-0005-0000-0000-000041110000}"/>
    <cellStyle name="20% - Accent5 2 2 3 4" xfId="4299" xr:uid="{00000000-0005-0000-0000-000042110000}"/>
    <cellStyle name="20% - Accent5 2 2 3 4 2" xfId="4300" xr:uid="{00000000-0005-0000-0000-000043110000}"/>
    <cellStyle name="20% - Accent5 2 2 3 4 2 2" xfId="4301" xr:uid="{00000000-0005-0000-0000-000044110000}"/>
    <cellStyle name="20% - Accent5 2 2 3 4 2 2 2" xfId="4302" xr:uid="{00000000-0005-0000-0000-000045110000}"/>
    <cellStyle name="20% - Accent5 2 2 3 4 2 2 3" xfId="23361" xr:uid="{00000000-0005-0000-0000-000046110000}"/>
    <cellStyle name="20% - Accent5 2 2 3 4 2 3" xfId="4303" xr:uid="{00000000-0005-0000-0000-000047110000}"/>
    <cellStyle name="20% - Accent5 2 2 3 4 2 4" xfId="20778" xr:uid="{00000000-0005-0000-0000-000048110000}"/>
    <cellStyle name="20% - Accent5 2 2 3 4 3" xfId="4304" xr:uid="{00000000-0005-0000-0000-000049110000}"/>
    <cellStyle name="20% - Accent5 2 2 3 4 3 2" xfId="4305" xr:uid="{00000000-0005-0000-0000-00004A110000}"/>
    <cellStyle name="20% - Accent5 2 2 3 4 3 3" xfId="22071" xr:uid="{00000000-0005-0000-0000-00004B110000}"/>
    <cellStyle name="20% - Accent5 2 2 3 4 4" xfId="4306" xr:uid="{00000000-0005-0000-0000-00004C110000}"/>
    <cellStyle name="20% - Accent5 2 2 3 4 5" xfId="19484" xr:uid="{00000000-0005-0000-0000-00004D110000}"/>
    <cellStyle name="20% - Accent5 2 2 3 5" xfId="4307" xr:uid="{00000000-0005-0000-0000-00004E110000}"/>
    <cellStyle name="20% - Accent5 2 2 3 5 2" xfId="4308" xr:uid="{00000000-0005-0000-0000-00004F110000}"/>
    <cellStyle name="20% - Accent5 2 2 3 5 2 2" xfId="4309" xr:uid="{00000000-0005-0000-0000-000050110000}"/>
    <cellStyle name="20% - Accent5 2 2 3 5 2 3" xfId="22716" xr:uid="{00000000-0005-0000-0000-000051110000}"/>
    <cellStyle name="20% - Accent5 2 2 3 5 3" xfId="4310" xr:uid="{00000000-0005-0000-0000-000052110000}"/>
    <cellStyle name="20% - Accent5 2 2 3 5 4" xfId="20133" xr:uid="{00000000-0005-0000-0000-000053110000}"/>
    <cellStyle name="20% - Accent5 2 2 3 6" xfId="4311" xr:uid="{00000000-0005-0000-0000-000054110000}"/>
    <cellStyle name="20% - Accent5 2 2 3 6 2" xfId="4312" xr:uid="{00000000-0005-0000-0000-000055110000}"/>
    <cellStyle name="20% - Accent5 2 2 3 6 3" xfId="21426" xr:uid="{00000000-0005-0000-0000-000056110000}"/>
    <cellStyle name="20% - Accent5 2 2 3 7" xfId="4313" xr:uid="{00000000-0005-0000-0000-000057110000}"/>
    <cellStyle name="20% - Accent5 2 2 3 8" xfId="18827" xr:uid="{00000000-0005-0000-0000-000058110000}"/>
    <cellStyle name="20% - Accent5 2 2 4" xfId="4314" xr:uid="{00000000-0005-0000-0000-000059110000}"/>
    <cellStyle name="20% - Accent5 2 2 4 2" xfId="4315" xr:uid="{00000000-0005-0000-0000-00005A110000}"/>
    <cellStyle name="20% - Accent5 2 2 4 2 2" xfId="4316" xr:uid="{00000000-0005-0000-0000-00005B110000}"/>
    <cellStyle name="20% - Accent5 2 2 4 2 2 2" xfId="4317" xr:uid="{00000000-0005-0000-0000-00005C110000}"/>
    <cellStyle name="20% - Accent5 2 2 4 2 2 2 2" xfId="4318" xr:uid="{00000000-0005-0000-0000-00005D110000}"/>
    <cellStyle name="20% - Accent5 2 2 4 2 2 2 2 2" xfId="4319" xr:uid="{00000000-0005-0000-0000-00005E110000}"/>
    <cellStyle name="20% - Accent5 2 2 4 2 2 2 2 3" xfId="23764" xr:uid="{00000000-0005-0000-0000-00005F110000}"/>
    <cellStyle name="20% - Accent5 2 2 4 2 2 2 3" xfId="4320" xr:uid="{00000000-0005-0000-0000-000060110000}"/>
    <cellStyle name="20% - Accent5 2 2 4 2 2 2 4" xfId="21181" xr:uid="{00000000-0005-0000-0000-000061110000}"/>
    <cellStyle name="20% - Accent5 2 2 4 2 2 3" xfId="4321" xr:uid="{00000000-0005-0000-0000-000062110000}"/>
    <cellStyle name="20% - Accent5 2 2 4 2 2 3 2" xfId="4322" xr:uid="{00000000-0005-0000-0000-000063110000}"/>
    <cellStyle name="20% - Accent5 2 2 4 2 2 3 3" xfId="22474" xr:uid="{00000000-0005-0000-0000-000064110000}"/>
    <cellStyle name="20% - Accent5 2 2 4 2 2 4" xfId="4323" xr:uid="{00000000-0005-0000-0000-000065110000}"/>
    <cellStyle name="20% - Accent5 2 2 4 2 2 5" xfId="19887" xr:uid="{00000000-0005-0000-0000-000066110000}"/>
    <cellStyle name="20% - Accent5 2 2 4 2 3" xfId="4324" xr:uid="{00000000-0005-0000-0000-000067110000}"/>
    <cellStyle name="20% - Accent5 2 2 4 2 3 2" xfId="4325" xr:uid="{00000000-0005-0000-0000-000068110000}"/>
    <cellStyle name="20% - Accent5 2 2 4 2 3 2 2" xfId="4326" xr:uid="{00000000-0005-0000-0000-000069110000}"/>
    <cellStyle name="20% - Accent5 2 2 4 2 3 2 3" xfId="23119" xr:uid="{00000000-0005-0000-0000-00006A110000}"/>
    <cellStyle name="20% - Accent5 2 2 4 2 3 3" xfId="4327" xr:uid="{00000000-0005-0000-0000-00006B110000}"/>
    <cellStyle name="20% - Accent5 2 2 4 2 3 4" xfId="20536" xr:uid="{00000000-0005-0000-0000-00006C110000}"/>
    <cellStyle name="20% - Accent5 2 2 4 2 4" xfId="4328" xr:uid="{00000000-0005-0000-0000-00006D110000}"/>
    <cellStyle name="20% - Accent5 2 2 4 2 4 2" xfId="4329" xr:uid="{00000000-0005-0000-0000-00006E110000}"/>
    <cellStyle name="20% - Accent5 2 2 4 2 4 3" xfId="21829" xr:uid="{00000000-0005-0000-0000-00006F110000}"/>
    <cellStyle name="20% - Accent5 2 2 4 2 5" xfId="4330" xr:uid="{00000000-0005-0000-0000-000070110000}"/>
    <cellStyle name="20% - Accent5 2 2 4 2 6" xfId="19239" xr:uid="{00000000-0005-0000-0000-000071110000}"/>
    <cellStyle name="20% - Accent5 2 2 4 3" xfId="4331" xr:uid="{00000000-0005-0000-0000-000072110000}"/>
    <cellStyle name="20% - Accent5 2 2 4 3 2" xfId="4332" xr:uid="{00000000-0005-0000-0000-000073110000}"/>
    <cellStyle name="20% - Accent5 2 2 4 3 2 2" xfId="4333" xr:uid="{00000000-0005-0000-0000-000074110000}"/>
    <cellStyle name="20% - Accent5 2 2 4 3 2 2 2" xfId="4334" xr:uid="{00000000-0005-0000-0000-000075110000}"/>
    <cellStyle name="20% - Accent5 2 2 4 3 2 2 3" xfId="23442" xr:uid="{00000000-0005-0000-0000-000076110000}"/>
    <cellStyle name="20% - Accent5 2 2 4 3 2 3" xfId="4335" xr:uid="{00000000-0005-0000-0000-000077110000}"/>
    <cellStyle name="20% - Accent5 2 2 4 3 2 4" xfId="20859" xr:uid="{00000000-0005-0000-0000-000078110000}"/>
    <cellStyle name="20% - Accent5 2 2 4 3 3" xfId="4336" xr:uid="{00000000-0005-0000-0000-000079110000}"/>
    <cellStyle name="20% - Accent5 2 2 4 3 3 2" xfId="4337" xr:uid="{00000000-0005-0000-0000-00007A110000}"/>
    <cellStyle name="20% - Accent5 2 2 4 3 3 3" xfId="22152" xr:uid="{00000000-0005-0000-0000-00007B110000}"/>
    <cellStyle name="20% - Accent5 2 2 4 3 4" xfId="4338" xr:uid="{00000000-0005-0000-0000-00007C110000}"/>
    <cellStyle name="20% - Accent5 2 2 4 3 5" xfId="19565" xr:uid="{00000000-0005-0000-0000-00007D110000}"/>
    <cellStyle name="20% - Accent5 2 2 4 4" xfId="4339" xr:uid="{00000000-0005-0000-0000-00007E110000}"/>
    <cellStyle name="20% - Accent5 2 2 4 4 2" xfId="4340" xr:uid="{00000000-0005-0000-0000-00007F110000}"/>
    <cellStyle name="20% - Accent5 2 2 4 4 2 2" xfId="4341" xr:uid="{00000000-0005-0000-0000-000080110000}"/>
    <cellStyle name="20% - Accent5 2 2 4 4 2 3" xfId="22797" xr:uid="{00000000-0005-0000-0000-000081110000}"/>
    <cellStyle name="20% - Accent5 2 2 4 4 3" xfId="4342" xr:uid="{00000000-0005-0000-0000-000082110000}"/>
    <cellStyle name="20% - Accent5 2 2 4 4 4" xfId="20214" xr:uid="{00000000-0005-0000-0000-000083110000}"/>
    <cellStyle name="20% - Accent5 2 2 4 5" xfId="4343" xr:uid="{00000000-0005-0000-0000-000084110000}"/>
    <cellStyle name="20% - Accent5 2 2 4 5 2" xfId="4344" xr:uid="{00000000-0005-0000-0000-000085110000}"/>
    <cellStyle name="20% - Accent5 2 2 4 5 3" xfId="21507" xr:uid="{00000000-0005-0000-0000-000086110000}"/>
    <cellStyle name="20% - Accent5 2 2 4 6" xfId="4345" xr:uid="{00000000-0005-0000-0000-000087110000}"/>
    <cellStyle name="20% - Accent5 2 2 4 7" xfId="18913" xr:uid="{00000000-0005-0000-0000-000088110000}"/>
    <cellStyle name="20% - Accent5 2 2 5" xfId="4346" xr:uid="{00000000-0005-0000-0000-000089110000}"/>
    <cellStyle name="20% - Accent5 2 2 5 2" xfId="4347" xr:uid="{00000000-0005-0000-0000-00008A110000}"/>
    <cellStyle name="20% - Accent5 2 2 5 2 2" xfId="4348" xr:uid="{00000000-0005-0000-0000-00008B110000}"/>
    <cellStyle name="20% - Accent5 2 2 5 2 2 2" xfId="4349" xr:uid="{00000000-0005-0000-0000-00008C110000}"/>
    <cellStyle name="20% - Accent5 2 2 5 2 2 2 2" xfId="4350" xr:uid="{00000000-0005-0000-0000-00008D110000}"/>
    <cellStyle name="20% - Accent5 2 2 5 2 2 2 3" xfId="23603" xr:uid="{00000000-0005-0000-0000-00008E110000}"/>
    <cellStyle name="20% - Accent5 2 2 5 2 2 3" xfId="4351" xr:uid="{00000000-0005-0000-0000-00008F110000}"/>
    <cellStyle name="20% - Accent5 2 2 5 2 2 4" xfId="21020" xr:uid="{00000000-0005-0000-0000-000090110000}"/>
    <cellStyle name="20% - Accent5 2 2 5 2 3" xfId="4352" xr:uid="{00000000-0005-0000-0000-000091110000}"/>
    <cellStyle name="20% - Accent5 2 2 5 2 3 2" xfId="4353" xr:uid="{00000000-0005-0000-0000-000092110000}"/>
    <cellStyle name="20% - Accent5 2 2 5 2 3 3" xfId="22313" xr:uid="{00000000-0005-0000-0000-000093110000}"/>
    <cellStyle name="20% - Accent5 2 2 5 2 4" xfId="4354" xr:uid="{00000000-0005-0000-0000-000094110000}"/>
    <cellStyle name="20% - Accent5 2 2 5 2 5" xfId="19726" xr:uid="{00000000-0005-0000-0000-000095110000}"/>
    <cellStyle name="20% - Accent5 2 2 5 3" xfId="4355" xr:uid="{00000000-0005-0000-0000-000096110000}"/>
    <cellStyle name="20% - Accent5 2 2 5 3 2" xfId="4356" xr:uid="{00000000-0005-0000-0000-000097110000}"/>
    <cellStyle name="20% - Accent5 2 2 5 3 2 2" xfId="4357" xr:uid="{00000000-0005-0000-0000-000098110000}"/>
    <cellStyle name="20% - Accent5 2 2 5 3 2 3" xfId="22958" xr:uid="{00000000-0005-0000-0000-000099110000}"/>
    <cellStyle name="20% - Accent5 2 2 5 3 3" xfId="4358" xr:uid="{00000000-0005-0000-0000-00009A110000}"/>
    <cellStyle name="20% - Accent5 2 2 5 3 4" xfId="20375" xr:uid="{00000000-0005-0000-0000-00009B110000}"/>
    <cellStyle name="20% - Accent5 2 2 5 4" xfId="4359" xr:uid="{00000000-0005-0000-0000-00009C110000}"/>
    <cellStyle name="20% - Accent5 2 2 5 4 2" xfId="4360" xr:uid="{00000000-0005-0000-0000-00009D110000}"/>
    <cellStyle name="20% - Accent5 2 2 5 4 3" xfId="21668" xr:uid="{00000000-0005-0000-0000-00009E110000}"/>
    <cellStyle name="20% - Accent5 2 2 5 5" xfId="4361" xr:uid="{00000000-0005-0000-0000-00009F110000}"/>
    <cellStyle name="20% - Accent5 2 2 5 6" xfId="19078" xr:uid="{00000000-0005-0000-0000-0000A0110000}"/>
    <cellStyle name="20% - Accent5 2 2 6" xfId="4362" xr:uid="{00000000-0005-0000-0000-0000A1110000}"/>
    <cellStyle name="20% - Accent5 2 2 6 2" xfId="4363" xr:uid="{00000000-0005-0000-0000-0000A2110000}"/>
    <cellStyle name="20% - Accent5 2 2 6 2 2" xfId="4364" xr:uid="{00000000-0005-0000-0000-0000A3110000}"/>
    <cellStyle name="20% - Accent5 2 2 6 2 2 2" xfId="4365" xr:uid="{00000000-0005-0000-0000-0000A4110000}"/>
    <cellStyle name="20% - Accent5 2 2 6 2 2 3" xfId="23280" xr:uid="{00000000-0005-0000-0000-0000A5110000}"/>
    <cellStyle name="20% - Accent5 2 2 6 2 3" xfId="4366" xr:uid="{00000000-0005-0000-0000-0000A6110000}"/>
    <cellStyle name="20% - Accent5 2 2 6 2 4" xfId="20697" xr:uid="{00000000-0005-0000-0000-0000A7110000}"/>
    <cellStyle name="20% - Accent5 2 2 6 3" xfId="4367" xr:uid="{00000000-0005-0000-0000-0000A8110000}"/>
    <cellStyle name="20% - Accent5 2 2 6 3 2" xfId="4368" xr:uid="{00000000-0005-0000-0000-0000A9110000}"/>
    <cellStyle name="20% - Accent5 2 2 6 3 3" xfId="21990" xr:uid="{00000000-0005-0000-0000-0000AA110000}"/>
    <cellStyle name="20% - Accent5 2 2 6 4" xfId="4369" xr:uid="{00000000-0005-0000-0000-0000AB110000}"/>
    <cellStyle name="20% - Accent5 2 2 6 5" xfId="19404" xr:uid="{00000000-0005-0000-0000-0000AC110000}"/>
    <cellStyle name="20% - Accent5 2 2 7" xfId="4370" xr:uid="{00000000-0005-0000-0000-0000AD110000}"/>
    <cellStyle name="20% - Accent5 2 2 7 2" xfId="4371" xr:uid="{00000000-0005-0000-0000-0000AE110000}"/>
    <cellStyle name="20% - Accent5 2 2 7 2 2" xfId="4372" xr:uid="{00000000-0005-0000-0000-0000AF110000}"/>
    <cellStyle name="20% - Accent5 2 2 7 2 3" xfId="22635" xr:uid="{00000000-0005-0000-0000-0000B0110000}"/>
    <cellStyle name="20% - Accent5 2 2 7 3" xfId="4373" xr:uid="{00000000-0005-0000-0000-0000B1110000}"/>
    <cellStyle name="20% - Accent5 2 2 7 4" xfId="20052" xr:uid="{00000000-0005-0000-0000-0000B2110000}"/>
    <cellStyle name="20% - Accent5 2 2 8" xfId="4374" xr:uid="{00000000-0005-0000-0000-0000B3110000}"/>
    <cellStyle name="20% - Accent5 2 2 8 2" xfId="4375" xr:uid="{00000000-0005-0000-0000-0000B4110000}"/>
    <cellStyle name="20% - Accent5 2 2 8 3" xfId="21345" xr:uid="{00000000-0005-0000-0000-0000B5110000}"/>
    <cellStyle name="20% - Accent5 2 2 9" xfId="4376" xr:uid="{00000000-0005-0000-0000-0000B6110000}"/>
    <cellStyle name="20% - Accent5 2 3" xfId="4377" xr:uid="{00000000-0005-0000-0000-0000B7110000}"/>
    <cellStyle name="20% - Accent5 2 3 2" xfId="4378" xr:uid="{00000000-0005-0000-0000-0000B8110000}"/>
    <cellStyle name="20% - Accent5 2 3 2 2" xfId="4379" xr:uid="{00000000-0005-0000-0000-0000B9110000}"/>
    <cellStyle name="20% - Accent5 2 3 2 2 2" xfId="4380" xr:uid="{00000000-0005-0000-0000-0000BA110000}"/>
    <cellStyle name="20% - Accent5 2 3 2 2 2 2" xfId="4381" xr:uid="{00000000-0005-0000-0000-0000BB110000}"/>
    <cellStyle name="20% - Accent5 2 3 2 2 2 2 2" xfId="4382" xr:uid="{00000000-0005-0000-0000-0000BC110000}"/>
    <cellStyle name="20% - Accent5 2 3 2 2 2 2 2 2" xfId="4383" xr:uid="{00000000-0005-0000-0000-0000BD110000}"/>
    <cellStyle name="20% - Accent5 2 3 2 2 2 2 2 2 2" xfId="4384" xr:uid="{00000000-0005-0000-0000-0000BE110000}"/>
    <cellStyle name="20% - Accent5 2 3 2 2 2 2 2 2 3" xfId="23864" xr:uid="{00000000-0005-0000-0000-0000BF110000}"/>
    <cellStyle name="20% - Accent5 2 3 2 2 2 2 2 3" xfId="4385" xr:uid="{00000000-0005-0000-0000-0000C0110000}"/>
    <cellStyle name="20% - Accent5 2 3 2 2 2 2 2 4" xfId="21281" xr:uid="{00000000-0005-0000-0000-0000C1110000}"/>
    <cellStyle name="20% - Accent5 2 3 2 2 2 2 3" xfId="4386" xr:uid="{00000000-0005-0000-0000-0000C2110000}"/>
    <cellStyle name="20% - Accent5 2 3 2 2 2 2 3 2" xfId="4387" xr:uid="{00000000-0005-0000-0000-0000C3110000}"/>
    <cellStyle name="20% - Accent5 2 3 2 2 2 2 3 3" xfId="22574" xr:uid="{00000000-0005-0000-0000-0000C4110000}"/>
    <cellStyle name="20% - Accent5 2 3 2 2 2 2 4" xfId="4388" xr:uid="{00000000-0005-0000-0000-0000C5110000}"/>
    <cellStyle name="20% - Accent5 2 3 2 2 2 2 5" xfId="19987" xr:uid="{00000000-0005-0000-0000-0000C6110000}"/>
    <cellStyle name="20% - Accent5 2 3 2 2 2 3" xfId="4389" xr:uid="{00000000-0005-0000-0000-0000C7110000}"/>
    <cellStyle name="20% - Accent5 2 3 2 2 2 3 2" xfId="4390" xr:uid="{00000000-0005-0000-0000-0000C8110000}"/>
    <cellStyle name="20% - Accent5 2 3 2 2 2 3 2 2" xfId="4391" xr:uid="{00000000-0005-0000-0000-0000C9110000}"/>
    <cellStyle name="20% - Accent5 2 3 2 2 2 3 2 3" xfId="23219" xr:uid="{00000000-0005-0000-0000-0000CA110000}"/>
    <cellStyle name="20% - Accent5 2 3 2 2 2 3 3" xfId="4392" xr:uid="{00000000-0005-0000-0000-0000CB110000}"/>
    <cellStyle name="20% - Accent5 2 3 2 2 2 3 4" xfId="20636" xr:uid="{00000000-0005-0000-0000-0000CC110000}"/>
    <cellStyle name="20% - Accent5 2 3 2 2 2 4" xfId="4393" xr:uid="{00000000-0005-0000-0000-0000CD110000}"/>
    <cellStyle name="20% - Accent5 2 3 2 2 2 4 2" xfId="4394" xr:uid="{00000000-0005-0000-0000-0000CE110000}"/>
    <cellStyle name="20% - Accent5 2 3 2 2 2 4 3" xfId="21929" xr:uid="{00000000-0005-0000-0000-0000CF110000}"/>
    <cellStyle name="20% - Accent5 2 3 2 2 2 5" xfId="4395" xr:uid="{00000000-0005-0000-0000-0000D0110000}"/>
    <cellStyle name="20% - Accent5 2 3 2 2 2 6" xfId="19339" xr:uid="{00000000-0005-0000-0000-0000D1110000}"/>
    <cellStyle name="20% - Accent5 2 3 2 2 3" xfId="4396" xr:uid="{00000000-0005-0000-0000-0000D2110000}"/>
    <cellStyle name="20% - Accent5 2 3 2 2 3 2" xfId="4397" xr:uid="{00000000-0005-0000-0000-0000D3110000}"/>
    <cellStyle name="20% - Accent5 2 3 2 2 3 2 2" xfId="4398" xr:uid="{00000000-0005-0000-0000-0000D4110000}"/>
    <cellStyle name="20% - Accent5 2 3 2 2 3 2 2 2" xfId="4399" xr:uid="{00000000-0005-0000-0000-0000D5110000}"/>
    <cellStyle name="20% - Accent5 2 3 2 2 3 2 2 3" xfId="23542" xr:uid="{00000000-0005-0000-0000-0000D6110000}"/>
    <cellStyle name="20% - Accent5 2 3 2 2 3 2 3" xfId="4400" xr:uid="{00000000-0005-0000-0000-0000D7110000}"/>
    <cellStyle name="20% - Accent5 2 3 2 2 3 2 4" xfId="20959" xr:uid="{00000000-0005-0000-0000-0000D8110000}"/>
    <cellStyle name="20% - Accent5 2 3 2 2 3 3" xfId="4401" xr:uid="{00000000-0005-0000-0000-0000D9110000}"/>
    <cellStyle name="20% - Accent5 2 3 2 2 3 3 2" xfId="4402" xr:uid="{00000000-0005-0000-0000-0000DA110000}"/>
    <cellStyle name="20% - Accent5 2 3 2 2 3 3 3" xfId="22252" xr:uid="{00000000-0005-0000-0000-0000DB110000}"/>
    <cellStyle name="20% - Accent5 2 3 2 2 3 4" xfId="4403" xr:uid="{00000000-0005-0000-0000-0000DC110000}"/>
    <cellStyle name="20% - Accent5 2 3 2 2 3 5" xfId="19665" xr:uid="{00000000-0005-0000-0000-0000DD110000}"/>
    <cellStyle name="20% - Accent5 2 3 2 2 4" xfId="4404" xr:uid="{00000000-0005-0000-0000-0000DE110000}"/>
    <cellStyle name="20% - Accent5 2 3 2 2 4 2" xfId="4405" xr:uid="{00000000-0005-0000-0000-0000DF110000}"/>
    <cellStyle name="20% - Accent5 2 3 2 2 4 2 2" xfId="4406" xr:uid="{00000000-0005-0000-0000-0000E0110000}"/>
    <cellStyle name="20% - Accent5 2 3 2 2 4 2 3" xfId="22897" xr:uid="{00000000-0005-0000-0000-0000E1110000}"/>
    <cellStyle name="20% - Accent5 2 3 2 2 4 3" xfId="4407" xr:uid="{00000000-0005-0000-0000-0000E2110000}"/>
    <cellStyle name="20% - Accent5 2 3 2 2 4 4" xfId="20314" xr:uid="{00000000-0005-0000-0000-0000E3110000}"/>
    <cellStyle name="20% - Accent5 2 3 2 2 5" xfId="4408" xr:uid="{00000000-0005-0000-0000-0000E4110000}"/>
    <cellStyle name="20% - Accent5 2 3 2 2 5 2" xfId="4409" xr:uid="{00000000-0005-0000-0000-0000E5110000}"/>
    <cellStyle name="20% - Accent5 2 3 2 2 5 3" xfId="21607" xr:uid="{00000000-0005-0000-0000-0000E6110000}"/>
    <cellStyle name="20% - Accent5 2 3 2 2 6" xfId="4410" xr:uid="{00000000-0005-0000-0000-0000E7110000}"/>
    <cellStyle name="20% - Accent5 2 3 2 2 7" xfId="19013" xr:uid="{00000000-0005-0000-0000-0000E8110000}"/>
    <cellStyle name="20% - Accent5 2 3 2 3" xfId="4411" xr:uid="{00000000-0005-0000-0000-0000E9110000}"/>
    <cellStyle name="20% - Accent5 2 3 2 3 2" xfId="4412" xr:uid="{00000000-0005-0000-0000-0000EA110000}"/>
    <cellStyle name="20% - Accent5 2 3 2 3 2 2" xfId="4413" xr:uid="{00000000-0005-0000-0000-0000EB110000}"/>
    <cellStyle name="20% - Accent5 2 3 2 3 2 2 2" xfId="4414" xr:uid="{00000000-0005-0000-0000-0000EC110000}"/>
    <cellStyle name="20% - Accent5 2 3 2 3 2 2 2 2" xfId="4415" xr:uid="{00000000-0005-0000-0000-0000ED110000}"/>
    <cellStyle name="20% - Accent5 2 3 2 3 2 2 2 3" xfId="23703" xr:uid="{00000000-0005-0000-0000-0000EE110000}"/>
    <cellStyle name="20% - Accent5 2 3 2 3 2 2 3" xfId="4416" xr:uid="{00000000-0005-0000-0000-0000EF110000}"/>
    <cellStyle name="20% - Accent5 2 3 2 3 2 2 4" xfId="21120" xr:uid="{00000000-0005-0000-0000-0000F0110000}"/>
    <cellStyle name="20% - Accent5 2 3 2 3 2 3" xfId="4417" xr:uid="{00000000-0005-0000-0000-0000F1110000}"/>
    <cellStyle name="20% - Accent5 2 3 2 3 2 3 2" xfId="4418" xr:uid="{00000000-0005-0000-0000-0000F2110000}"/>
    <cellStyle name="20% - Accent5 2 3 2 3 2 3 3" xfId="22413" xr:uid="{00000000-0005-0000-0000-0000F3110000}"/>
    <cellStyle name="20% - Accent5 2 3 2 3 2 4" xfId="4419" xr:uid="{00000000-0005-0000-0000-0000F4110000}"/>
    <cellStyle name="20% - Accent5 2 3 2 3 2 5" xfId="19826" xr:uid="{00000000-0005-0000-0000-0000F5110000}"/>
    <cellStyle name="20% - Accent5 2 3 2 3 3" xfId="4420" xr:uid="{00000000-0005-0000-0000-0000F6110000}"/>
    <cellStyle name="20% - Accent5 2 3 2 3 3 2" xfId="4421" xr:uid="{00000000-0005-0000-0000-0000F7110000}"/>
    <cellStyle name="20% - Accent5 2 3 2 3 3 2 2" xfId="4422" xr:uid="{00000000-0005-0000-0000-0000F8110000}"/>
    <cellStyle name="20% - Accent5 2 3 2 3 3 2 3" xfId="23058" xr:uid="{00000000-0005-0000-0000-0000F9110000}"/>
    <cellStyle name="20% - Accent5 2 3 2 3 3 3" xfId="4423" xr:uid="{00000000-0005-0000-0000-0000FA110000}"/>
    <cellStyle name="20% - Accent5 2 3 2 3 3 4" xfId="20475" xr:uid="{00000000-0005-0000-0000-0000FB110000}"/>
    <cellStyle name="20% - Accent5 2 3 2 3 4" xfId="4424" xr:uid="{00000000-0005-0000-0000-0000FC110000}"/>
    <cellStyle name="20% - Accent5 2 3 2 3 4 2" xfId="4425" xr:uid="{00000000-0005-0000-0000-0000FD110000}"/>
    <cellStyle name="20% - Accent5 2 3 2 3 4 3" xfId="21768" xr:uid="{00000000-0005-0000-0000-0000FE110000}"/>
    <cellStyle name="20% - Accent5 2 3 2 3 5" xfId="4426" xr:uid="{00000000-0005-0000-0000-0000FF110000}"/>
    <cellStyle name="20% - Accent5 2 3 2 3 6" xfId="19178" xr:uid="{00000000-0005-0000-0000-000000120000}"/>
    <cellStyle name="20% - Accent5 2 3 2 4" xfId="4427" xr:uid="{00000000-0005-0000-0000-000001120000}"/>
    <cellStyle name="20% - Accent5 2 3 2 4 2" xfId="4428" xr:uid="{00000000-0005-0000-0000-000002120000}"/>
    <cellStyle name="20% - Accent5 2 3 2 4 2 2" xfId="4429" xr:uid="{00000000-0005-0000-0000-000003120000}"/>
    <cellStyle name="20% - Accent5 2 3 2 4 2 2 2" xfId="4430" xr:uid="{00000000-0005-0000-0000-000004120000}"/>
    <cellStyle name="20% - Accent5 2 3 2 4 2 2 3" xfId="23381" xr:uid="{00000000-0005-0000-0000-000005120000}"/>
    <cellStyle name="20% - Accent5 2 3 2 4 2 3" xfId="4431" xr:uid="{00000000-0005-0000-0000-000006120000}"/>
    <cellStyle name="20% - Accent5 2 3 2 4 2 4" xfId="20798" xr:uid="{00000000-0005-0000-0000-000007120000}"/>
    <cellStyle name="20% - Accent5 2 3 2 4 3" xfId="4432" xr:uid="{00000000-0005-0000-0000-000008120000}"/>
    <cellStyle name="20% - Accent5 2 3 2 4 3 2" xfId="4433" xr:uid="{00000000-0005-0000-0000-000009120000}"/>
    <cellStyle name="20% - Accent5 2 3 2 4 3 3" xfId="22091" xr:uid="{00000000-0005-0000-0000-00000A120000}"/>
    <cellStyle name="20% - Accent5 2 3 2 4 4" xfId="4434" xr:uid="{00000000-0005-0000-0000-00000B120000}"/>
    <cellStyle name="20% - Accent5 2 3 2 4 5" xfId="19504" xr:uid="{00000000-0005-0000-0000-00000C120000}"/>
    <cellStyle name="20% - Accent5 2 3 2 5" xfId="4435" xr:uid="{00000000-0005-0000-0000-00000D120000}"/>
    <cellStyle name="20% - Accent5 2 3 2 5 2" xfId="4436" xr:uid="{00000000-0005-0000-0000-00000E120000}"/>
    <cellStyle name="20% - Accent5 2 3 2 5 2 2" xfId="4437" xr:uid="{00000000-0005-0000-0000-00000F120000}"/>
    <cellStyle name="20% - Accent5 2 3 2 5 2 3" xfId="22736" xr:uid="{00000000-0005-0000-0000-000010120000}"/>
    <cellStyle name="20% - Accent5 2 3 2 5 3" xfId="4438" xr:uid="{00000000-0005-0000-0000-000011120000}"/>
    <cellStyle name="20% - Accent5 2 3 2 5 4" xfId="20153" xr:uid="{00000000-0005-0000-0000-000012120000}"/>
    <cellStyle name="20% - Accent5 2 3 2 6" xfId="4439" xr:uid="{00000000-0005-0000-0000-000013120000}"/>
    <cellStyle name="20% - Accent5 2 3 2 6 2" xfId="4440" xr:uid="{00000000-0005-0000-0000-000014120000}"/>
    <cellStyle name="20% - Accent5 2 3 2 6 3" xfId="21446" xr:uid="{00000000-0005-0000-0000-000015120000}"/>
    <cellStyle name="20% - Accent5 2 3 2 7" xfId="4441" xr:uid="{00000000-0005-0000-0000-000016120000}"/>
    <cellStyle name="20% - Accent5 2 3 2 8" xfId="18848" xr:uid="{00000000-0005-0000-0000-000017120000}"/>
    <cellStyle name="20% - Accent5 2 3 3" xfId="4442" xr:uid="{00000000-0005-0000-0000-000018120000}"/>
    <cellStyle name="20% - Accent5 2 3 3 2" xfId="4443" xr:uid="{00000000-0005-0000-0000-000019120000}"/>
    <cellStyle name="20% - Accent5 2 3 3 2 2" xfId="4444" xr:uid="{00000000-0005-0000-0000-00001A120000}"/>
    <cellStyle name="20% - Accent5 2 3 3 2 2 2" xfId="4445" xr:uid="{00000000-0005-0000-0000-00001B120000}"/>
    <cellStyle name="20% - Accent5 2 3 3 2 2 2 2" xfId="4446" xr:uid="{00000000-0005-0000-0000-00001C120000}"/>
    <cellStyle name="20% - Accent5 2 3 3 2 2 2 2 2" xfId="4447" xr:uid="{00000000-0005-0000-0000-00001D120000}"/>
    <cellStyle name="20% - Accent5 2 3 3 2 2 2 2 3" xfId="23784" xr:uid="{00000000-0005-0000-0000-00001E120000}"/>
    <cellStyle name="20% - Accent5 2 3 3 2 2 2 3" xfId="4448" xr:uid="{00000000-0005-0000-0000-00001F120000}"/>
    <cellStyle name="20% - Accent5 2 3 3 2 2 2 4" xfId="21201" xr:uid="{00000000-0005-0000-0000-000020120000}"/>
    <cellStyle name="20% - Accent5 2 3 3 2 2 3" xfId="4449" xr:uid="{00000000-0005-0000-0000-000021120000}"/>
    <cellStyle name="20% - Accent5 2 3 3 2 2 3 2" xfId="4450" xr:uid="{00000000-0005-0000-0000-000022120000}"/>
    <cellStyle name="20% - Accent5 2 3 3 2 2 3 3" xfId="22494" xr:uid="{00000000-0005-0000-0000-000023120000}"/>
    <cellStyle name="20% - Accent5 2 3 3 2 2 4" xfId="4451" xr:uid="{00000000-0005-0000-0000-000024120000}"/>
    <cellStyle name="20% - Accent5 2 3 3 2 2 5" xfId="19907" xr:uid="{00000000-0005-0000-0000-000025120000}"/>
    <cellStyle name="20% - Accent5 2 3 3 2 3" xfId="4452" xr:uid="{00000000-0005-0000-0000-000026120000}"/>
    <cellStyle name="20% - Accent5 2 3 3 2 3 2" xfId="4453" xr:uid="{00000000-0005-0000-0000-000027120000}"/>
    <cellStyle name="20% - Accent5 2 3 3 2 3 2 2" xfId="4454" xr:uid="{00000000-0005-0000-0000-000028120000}"/>
    <cellStyle name="20% - Accent5 2 3 3 2 3 2 3" xfId="23139" xr:uid="{00000000-0005-0000-0000-000029120000}"/>
    <cellStyle name="20% - Accent5 2 3 3 2 3 3" xfId="4455" xr:uid="{00000000-0005-0000-0000-00002A120000}"/>
    <cellStyle name="20% - Accent5 2 3 3 2 3 4" xfId="20556" xr:uid="{00000000-0005-0000-0000-00002B120000}"/>
    <cellStyle name="20% - Accent5 2 3 3 2 4" xfId="4456" xr:uid="{00000000-0005-0000-0000-00002C120000}"/>
    <cellStyle name="20% - Accent5 2 3 3 2 4 2" xfId="4457" xr:uid="{00000000-0005-0000-0000-00002D120000}"/>
    <cellStyle name="20% - Accent5 2 3 3 2 4 3" xfId="21849" xr:uid="{00000000-0005-0000-0000-00002E120000}"/>
    <cellStyle name="20% - Accent5 2 3 3 2 5" xfId="4458" xr:uid="{00000000-0005-0000-0000-00002F120000}"/>
    <cellStyle name="20% - Accent5 2 3 3 2 6" xfId="19259" xr:uid="{00000000-0005-0000-0000-000030120000}"/>
    <cellStyle name="20% - Accent5 2 3 3 3" xfId="4459" xr:uid="{00000000-0005-0000-0000-000031120000}"/>
    <cellStyle name="20% - Accent5 2 3 3 3 2" xfId="4460" xr:uid="{00000000-0005-0000-0000-000032120000}"/>
    <cellStyle name="20% - Accent5 2 3 3 3 2 2" xfId="4461" xr:uid="{00000000-0005-0000-0000-000033120000}"/>
    <cellStyle name="20% - Accent5 2 3 3 3 2 2 2" xfId="4462" xr:uid="{00000000-0005-0000-0000-000034120000}"/>
    <cellStyle name="20% - Accent5 2 3 3 3 2 2 3" xfId="23462" xr:uid="{00000000-0005-0000-0000-000035120000}"/>
    <cellStyle name="20% - Accent5 2 3 3 3 2 3" xfId="4463" xr:uid="{00000000-0005-0000-0000-000036120000}"/>
    <cellStyle name="20% - Accent5 2 3 3 3 2 4" xfId="20879" xr:uid="{00000000-0005-0000-0000-000037120000}"/>
    <cellStyle name="20% - Accent5 2 3 3 3 3" xfId="4464" xr:uid="{00000000-0005-0000-0000-000038120000}"/>
    <cellStyle name="20% - Accent5 2 3 3 3 3 2" xfId="4465" xr:uid="{00000000-0005-0000-0000-000039120000}"/>
    <cellStyle name="20% - Accent5 2 3 3 3 3 3" xfId="22172" xr:uid="{00000000-0005-0000-0000-00003A120000}"/>
    <cellStyle name="20% - Accent5 2 3 3 3 4" xfId="4466" xr:uid="{00000000-0005-0000-0000-00003B120000}"/>
    <cellStyle name="20% - Accent5 2 3 3 3 5" xfId="19585" xr:uid="{00000000-0005-0000-0000-00003C120000}"/>
    <cellStyle name="20% - Accent5 2 3 3 4" xfId="4467" xr:uid="{00000000-0005-0000-0000-00003D120000}"/>
    <cellStyle name="20% - Accent5 2 3 3 4 2" xfId="4468" xr:uid="{00000000-0005-0000-0000-00003E120000}"/>
    <cellStyle name="20% - Accent5 2 3 3 4 2 2" xfId="4469" xr:uid="{00000000-0005-0000-0000-00003F120000}"/>
    <cellStyle name="20% - Accent5 2 3 3 4 2 3" xfId="22817" xr:uid="{00000000-0005-0000-0000-000040120000}"/>
    <cellStyle name="20% - Accent5 2 3 3 4 3" xfId="4470" xr:uid="{00000000-0005-0000-0000-000041120000}"/>
    <cellStyle name="20% - Accent5 2 3 3 4 4" xfId="20234" xr:uid="{00000000-0005-0000-0000-000042120000}"/>
    <cellStyle name="20% - Accent5 2 3 3 5" xfId="4471" xr:uid="{00000000-0005-0000-0000-000043120000}"/>
    <cellStyle name="20% - Accent5 2 3 3 5 2" xfId="4472" xr:uid="{00000000-0005-0000-0000-000044120000}"/>
    <cellStyle name="20% - Accent5 2 3 3 5 3" xfId="21527" xr:uid="{00000000-0005-0000-0000-000045120000}"/>
    <cellStyle name="20% - Accent5 2 3 3 6" xfId="4473" xr:uid="{00000000-0005-0000-0000-000046120000}"/>
    <cellStyle name="20% - Accent5 2 3 3 7" xfId="18933" xr:uid="{00000000-0005-0000-0000-000047120000}"/>
    <cellStyle name="20% - Accent5 2 3 4" xfId="4474" xr:uid="{00000000-0005-0000-0000-000048120000}"/>
    <cellStyle name="20% - Accent5 2 3 4 2" xfId="4475" xr:uid="{00000000-0005-0000-0000-000049120000}"/>
    <cellStyle name="20% - Accent5 2 3 4 2 2" xfId="4476" xr:uid="{00000000-0005-0000-0000-00004A120000}"/>
    <cellStyle name="20% - Accent5 2 3 4 2 2 2" xfId="4477" xr:uid="{00000000-0005-0000-0000-00004B120000}"/>
    <cellStyle name="20% - Accent5 2 3 4 2 2 2 2" xfId="4478" xr:uid="{00000000-0005-0000-0000-00004C120000}"/>
    <cellStyle name="20% - Accent5 2 3 4 2 2 2 3" xfId="23623" xr:uid="{00000000-0005-0000-0000-00004D120000}"/>
    <cellStyle name="20% - Accent5 2 3 4 2 2 3" xfId="4479" xr:uid="{00000000-0005-0000-0000-00004E120000}"/>
    <cellStyle name="20% - Accent5 2 3 4 2 2 4" xfId="21040" xr:uid="{00000000-0005-0000-0000-00004F120000}"/>
    <cellStyle name="20% - Accent5 2 3 4 2 3" xfId="4480" xr:uid="{00000000-0005-0000-0000-000050120000}"/>
    <cellStyle name="20% - Accent5 2 3 4 2 3 2" xfId="4481" xr:uid="{00000000-0005-0000-0000-000051120000}"/>
    <cellStyle name="20% - Accent5 2 3 4 2 3 3" xfId="22333" xr:uid="{00000000-0005-0000-0000-000052120000}"/>
    <cellStyle name="20% - Accent5 2 3 4 2 4" xfId="4482" xr:uid="{00000000-0005-0000-0000-000053120000}"/>
    <cellStyle name="20% - Accent5 2 3 4 2 5" xfId="19746" xr:uid="{00000000-0005-0000-0000-000054120000}"/>
    <cellStyle name="20% - Accent5 2 3 4 3" xfId="4483" xr:uid="{00000000-0005-0000-0000-000055120000}"/>
    <cellStyle name="20% - Accent5 2 3 4 3 2" xfId="4484" xr:uid="{00000000-0005-0000-0000-000056120000}"/>
    <cellStyle name="20% - Accent5 2 3 4 3 2 2" xfId="4485" xr:uid="{00000000-0005-0000-0000-000057120000}"/>
    <cellStyle name="20% - Accent5 2 3 4 3 2 3" xfId="22978" xr:uid="{00000000-0005-0000-0000-000058120000}"/>
    <cellStyle name="20% - Accent5 2 3 4 3 3" xfId="4486" xr:uid="{00000000-0005-0000-0000-000059120000}"/>
    <cellStyle name="20% - Accent5 2 3 4 3 4" xfId="20395" xr:uid="{00000000-0005-0000-0000-00005A120000}"/>
    <cellStyle name="20% - Accent5 2 3 4 4" xfId="4487" xr:uid="{00000000-0005-0000-0000-00005B120000}"/>
    <cellStyle name="20% - Accent5 2 3 4 4 2" xfId="4488" xr:uid="{00000000-0005-0000-0000-00005C120000}"/>
    <cellStyle name="20% - Accent5 2 3 4 4 3" xfId="21688" xr:uid="{00000000-0005-0000-0000-00005D120000}"/>
    <cellStyle name="20% - Accent5 2 3 4 5" xfId="4489" xr:uid="{00000000-0005-0000-0000-00005E120000}"/>
    <cellStyle name="20% - Accent5 2 3 4 6" xfId="19098" xr:uid="{00000000-0005-0000-0000-00005F120000}"/>
    <cellStyle name="20% - Accent5 2 3 5" xfId="4490" xr:uid="{00000000-0005-0000-0000-000060120000}"/>
    <cellStyle name="20% - Accent5 2 3 5 2" xfId="4491" xr:uid="{00000000-0005-0000-0000-000061120000}"/>
    <cellStyle name="20% - Accent5 2 3 5 2 2" xfId="4492" xr:uid="{00000000-0005-0000-0000-000062120000}"/>
    <cellStyle name="20% - Accent5 2 3 5 2 2 2" xfId="4493" xr:uid="{00000000-0005-0000-0000-000063120000}"/>
    <cellStyle name="20% - Accent5 2 3 5 2 2 3" xfId="23300" xr:uid="{00000000-0005-0000-0000-000064120000}"/>
    <cellStyle name="20% - Accent5 2 3 5 2 3" xfId="4494" xr:uid="{00000000-0005-0000-0000-000065120000}"/>
    <cellStyle name="20% - Accent5 2 3 5 2 4" xfId="20717" xr:uid="{00000000-0005-0000-0000-000066120000}"/>
    <cellStyle name="20% - Accent5 2 3 5 3" xfId="4495" xr:uid="{00000000-0005-0000-0000-000067120000}"/>
    <cellStyle name="20% - Accent5 2 3 5 3 2" xfId="4496" xr:uid="{00000000-0005-0000-0000-000068120000}"/>
    <cellStyle name="20% - Accent5 2 3 5 3 3" xfId="22010" xr:uid="{00000000-0005-0000-0000-000069120000}"/>
    <cellStyle name="20% - Accent5 2 3 5 4" xfId="4497" xr:uid="{00000000-0005-0000-0000-00006A120000}"/>
    <cellStyle name="20% - Accent5 2 3 5 5" xfId="19424" xr:uid="{00000000-0005-0000-0000-00006B120000}"/>
    <cellStyle name="20% - Accent5 2 3 6" xfId="4498" xr:uid="{00000000-0005-0000-0000-00006C120000}"/>
    <cellStyle name="20% - Accent5 2 3 6 2" xfId="4499" xr:uid="{00000000-0005-0000-0000-00006D120000}"/>
    <cellStyle name="20% - Accent5 2 3 6 2 2" xfId="4500" xr:uid="{00000000-0005-0000-0000-00006E120000}"/>
    <cellStyle name="20% - Accent5 2 3 6 2 3" xfId="22655" xr:uid="{00000000-0005-0000-0000-00006F120000}"/>
    <cellStyle name="20% - Accent5 2 3 6 3" xfId="4501" xr:uid="{00000000-0005-0000-0000-000070120000}"/>
    <cellStyle name="20% - Accent5 2 3 6 4" xfId="20072" xr:uid="{00000000-0005-0000-0000-000071120000}"/>
    <cellStyle name="20% - Accent5 2 3 7" xfId="4502" xr:uid="{00000000-0005-0000-0000-000072120000}"/>
    <cellStyle name="20% - Accent5 2 3 7 2" xfId="4503" xr:uid="{00000000-0005-0000-0000-000073120000}"/>
    <cellStyle name="20% - Accent5 2 3 7 3" xfId="21365" xr:uid="{00000000-0005-0000-0000-000074120000}"/>
    <cellStyle name="20% - Accent5 2 3 8" xfId="4504" xr:uid="{00000000-0005-0000-0000-000075120000}"/>
    <cellStyle name="20% - Accent5 2 3 9" xfId="18751" xr:uid="{00000000-0005-0000-0000-000076120000}"/>
    <cellStyle name="20% - Accent5 2 4" xfId="4505" xr:uid="{00000000-0005-0000-0000-000077120000}"/>
    <cellStyle name="20% - Accent5 2 4 2" xfId="4506" xr:uid="{00000000-0005-0000-0000-000078120000}"/>
    <cellStyle name="20% - Accent5 2 4 2 2" xfId="4507" xr:uid="{00000000-0005-0000-0000-000079120000}"/>
    <cellStyle name="20% - Accent5 2 4 2 2 2" xfId="4508" xr:uid="{00000000-0005-0000-0000-00007A120000}"/>
    <cellStyle name="20% - Accent5 2 4 2 2 2 2" xfId="4509" xr:uid="{00000000-0005-0000-0000-00007B120000}"/>
    <cellStyle name="20% - Accent5 2 4 2 2 2 2 2" xfId="4510" xr:uid="{00000000-0005-0000-0000-00007C120000}"/>
    <cellStyle name="20% - Accent5 2 4 2 2 2 2 2 2" xfId="4511" xr:uid="{00000000-0005-0000-0000-00007D120000}"/>
    <cellStyle name="20% - Accent5 2 4 2 2 2 2 2 3" xfId="23824" xr:uid="{00000000-0005-0000-0000-00007E120000}"/>
    <cellStyle name="20% - Accent5 2 4 2 2 2 2 3" xfId="4512" xr:uid="{00000000-0005-0000-0000-00007F120000}"/>
    <cellStyle name="20% - Accent5 2 4 2 2 2 2 4" xfId="21241" xr:uid="{00000000-0005-0000-0000-000080120000}"/>
    <cellStyle name="20% - Accent5 2 4 2 2 2 3" xfId="4513" xr:uid="{00000000-0005-0000-0000-000081120000}"/>
    <cellStyle name="20% - Accent5 2 4 2 2 2 3 2" xfId="4514" xr:uid="{00000000-0005-0000-0000-000082120000}"/>
    <cellStyle name="20% - Accent5 2 4 2 2 2 3 3" xfId="22534" xr:uid="{00000000-0005-0000-0000-000083120000}"/>
    <cellStyle name="20% - Accent5 2 4 2 2 2 4" xfId="4515" xr:uid="{00000000-0005-0000-0000-000084120000}"/>
    <cellStyle name="20% - Accent5 2 4 2 2 2 5" xfId="19947" xr:uid="{00000000-0005-0000-0000-000085120000}"/>
    <cellStyle name="20% - Accent5 2 4 2 2 3" xfId="4516" xr:uid="{00000000-0005-0000-0000-000086120000}"/>
    <cellStyle name="20% - Accent5 2 4 2 2 3 2" xfId="4517" xr:uid="{00000000-0005-0000-0000-000087120000}"/>
    <cellStyle name="20% - Accent5 2 4 2 2 3 2 2" xfId="4518" xr:uid="{00000000-0005-0000-0000-000088120000}"/>
    <cellStyle name="20% - Accent5 2 4 2 2 3 2 3" xfId="23179" xr:uid="{00000000-0005-0000-0000-000089120000}"/>
    <cellStyle name="20% - Accent5 2 4 2 2 3 3" xfId="4519" xr:uid="{00000000-0005-0000-0000-00008A120000}"/>
    <cellStyle name="20% - Accent5 2 4 2 2 3 4" xfId="20596" xr:uid="{00000000-0005-0000-0000-00008B120000}"/>
    <cellStyle name="20% - Accent5 2 4 2 2 4" xfId="4520" xr:uid="{00000000-0005-0000-0000-00008C120000}"/>
    <cellStyle name="20% - Accent5 2 4 2 2 4 2" xfId="4521" xr:uid="{00000000-0005-0000-0000-00008D120000}"/>
    <cellStyle name="20% - Accent5 2 4 2 2 4 3" xfId="21889" xr:uid="{00000000-0005-0000-0000-00008E120000}"/>
    <cellStyle name="20% - Accent5 2 4 2 2 5" xfId="4522" xr:uid="{00000000-0005-0000-0000-00008F120000}"/>
    <cellStyle name="20% - Accent5 2 4 2 2 6" xfId="19299" xr:uid="{00000000-0005-0000-0000-000090120000}"/>
    <cellStyle name="20% - Accent5 2 4 2 3" xfId="4523" xr:uid="{00000000-0005-0000-0000-000091120000}"/>
    <cellStyle name="20% - Accent5 2 4 2 3 2" xfId="4524" xr:uid="{00000000-0005-0000-0000-000092120000}"/>
    <cellStyle name="20% - Accent5 2 4 2 3 2 2" xfId="4525" xr:uid="{00000000-0005-0000-0000-000093120000}"/>
    <cellStyle name="20% - Accent5 2 4 2 3 2 2 2" xfId="4526" xr:uid="{00000000-0005-0000-0000-000094120000}"/>
    <cellStyle name="20% - Accent5 2 4 2 3 2 2 3" xfId="23502" xr:uid="{00000000-0005-0000-0000-000095120000}"/>
    <cellStyle name="20% - Accent5 2 4 2 3 2 3" xfId="4527" xr:uid="{00000000-0005-0000-0000-000096120000}"/>
    <cellStyle name="20% - Accent5 2 4 2 3 2 4" xfId="20919" xr:uid="{00000000-0005-0000-0000-000097120000}"/>
    <cellStyle name="20% - Accent5 2 4 2 3 3" xfId="4528" xr:uid="{00000000-0005-0000-0000-000098120000}"/>
    <cellStyle name="20% - Accent5 2 4 2 3 3 2" xfId="4529" xr:uid="{00000000-0005-0000-0000-000099120000}"/>
    <cellStyle name="20% - Accent5 2 4 2 3 3 3" xfId="22212" xr:uid="{00000000-0005-0000-0000-00009A120000}"/>
    <cellStyle name="20% - Accent5 2 4 2 3 4" xfId="4530" xr:uid="{00000000-0005-0000-0000-00009B120000}"/>
    <cellStyle name="20% - Accent5 2 4 2 3 5" xfId="19625" xr:uid="{00000000-0005-0000-0000-00009C120000}"/>
    <cellStyle name="20% - Accent5 2 4 2 4" xfId="4531" xr:uid="{00000000-0005-0000-0000-00009D120000}"/>
    <cellStyle name="20% - Accent5 2 4 2 4 2" xfId="4532" xr:uid="{00000000-0005-0000-0000-00009E120000}"/>
    <cellStyle name="20% - Accent5 2 4 2 4 2 2" xfId="4533" xr:uid="{00000000-0005-0000-0000-00009F120000}"/>
    <cellStyle name="20% - Accent5 2 4 2 4 2 3" xfId="22857" xr:uid="{00000000-0005-0000-0000-0000A0120000}"/>
    <cellStyle name="20% - Accent5 2 4 2 4 3" xfId="4534" xr:uid="{00000000-0005-0000-0000-0000A1120000}"/>
    <cellStyle name="20% - Accent5 2 4 2 4 4" xfId="20274" xr:uid="{00000000-0005-0000-0000-0000A2120000}"/>
    <cellStyle name="20% - Accent5 2 4 2 5" xfId="4535" xr:uid="{00000000-0005-0000-0000-0000A3120000}"/>
    <cellStyle name="20% - Accent5 2 4 2 5 2" xfId="4536" xr:uid="{00000000-0005-0000-0000-0000A4120000}"/>
    <cellStyle name="20% - Accent5 2 4 2 5 3" xfId="21567" xr:uid="{00000000-0005-0000-0000-0000A5120000}"/>
    <cellStyle name="20% - Accent5 2 4 2 6" xfId="4537" xr:uid="{00000000-0005-0000-0000-0000A6120000}"/>
    <cellStyle name="20% - Accent5 2 4 2 7" xfId="18973" xr:uid="{00000000-0005-0000-0000-0000A7120000}"/>
    <cellStyle name="20% - Accent5 2 4 3" xfId="4538" xr:uid="{00000000-0005-0000-0000-0000A8120000}"/>
    <cellStyle name="20% - Accent5 2 4 3 2" xfId="4539" xr:uid="{00000000-0005-0000-0000-0000A9120000}"/>
    <cellStyle name="20% - Accent5 2 4 3 2 2" xfId="4540" xr:uid="{00000000-0005-0000-0000-0000AA120000}"/>
    <cellStyle name="20% - Accent5 2 4 3 2 2 2" xfId="4541" xr:uid="{00000000-0005-0000-0000-0000AB120000}"/>
    <cellStyle name="20% - Accent5 2 4 3 2 2 2 2" xfId="4542" xr:uid="{00000000-0005-0000-0000-0000AC120000}"/>
    <cellStyle name="20% - Accent5 2 4 3 2 2 2 3" xfId="23663" xr:uid="{00000000-0005-0000-0000-0000AD120000}"/>
    <cellStyle name="20% - Accent5 2 4 3 2 2 3" xfId="4543" xr:uid="{00000000-0005-0000-0000-0000AE120000}"/>
    <cellStyle name="20% - Accent5 2 4 3 2 2 4" xfId="21080" xr:uid="{00000000-0005-0000-0000-0000AF120000}"/>
    <cellStyle name="20% - Accent5 2 4 3 2 3" xfId="4544" xr:uid="{00000000-0005-0000-0000-0000B0120000}"/>
    <cellStyle name="20% - Accent5 2 4 3 2 3 2" xfId="4545" xr:uid="{00000000-0005-0000-0000-0000B1120000}"/>
    <cellStyle name="20% - Accent5 2 4 3 2 3 3" xfId="22373" xr:uid="{00000000-0005-0000-0000-0000B2120000}"/>
    <cellStyle name="20% - Accent5 2 4 3 2 4" xfId="4546" xr:uid="{00000000-0005-0000-0000-0000B3120000}"/>
    <cellStyle name="20% - Accent5 2 4 3 2 5" xfId="19786" xr:uid="{00000000-0005-0000-0000-0000B4120000}"/>
    <cellStyle name="20% - Accent5 2 4 3 3" xfId="4547" xr:uid="{00000000-0005-0000-0000-0000B5120000}"/>
    <cellStyle name="20% - Accent5 2 4 3 3 2" xfId="4548" xr:uid="{00000000-0005-0000-0000-0000B6120000}"/>
    <cellStyle name="20% - Accent5 2 4 3 3 2 2" xfId="4549" xr:uid="{00000000-0005-0000-0000-0000B7120000}"/>
    <cellStyle name="20% - Accent5 2 4 3 3 2 3" xfId="23018" xr:uid="{00000000-0005-0000-0000-0000B8120000}"/>
    <cellStyle name="20% - Accent5 2 4 3 3 3" xfId="4550" xr:uid="{00000000-0005-0000-0000-0000B9120000}"/>
    <cellStyle name="20% - Accent5 2 4 3 3 4" xfId="20435" xr:uid="{00000000-0005-0000-0000-0000BA120000}"/>
    <cellStyle name="20% - Accent5 2 4 3 4" xfId="4551" xr:uid="{00000000-0005-0000-0000-0000BB120000}"/>
    <cellStyle name="20% - Accent5 2 4 3 4 2" xfId="4552" xr:uid="{00000000-0005-0000-0000-0000BC120000}"/>
    <cellStyle name="20% - Accent5 2 4 3 4 3" xfId="21728" xr:uid="{00000000-0005-0000-0000-0000BD120000}"/>
    <cellStyle name="20% - Accent5 2 4 3 5" xfId="4553" xr:uid="{00000000-0005-0000-0000-0000BE120000}"/>
    <cellStyle name="20% - Accent5 2 4 3 6" xfId="19138" xr:uid="{00000000-0005-0000-0000-0000BF120000}"/>
    <cellStyle name="20% - Accent5 2 4 4" xfId="4554" xr:uid="{00000000-0005-0000-0000-0000C0120000}"/>
    <cellStyle name="20% - Accent5 2 4 4 2" xfId="4555" xr:uid="{00000000-0005-0000-0000-0000C1120000}"/>
    <cellStyle name="20% - Accent5 2 4 4 2 2" xfId="4556" xr:uid="{00000000-0005-0000-0000-0000C2120000}"/>
    <cellStyle name="20% - Accent5 2 4 4 2 2 2" xfId="4557" xr:uid="{00000000-0005-0000-0000-0000C3120000}"/>
    <cellStyle name="20% - Accent5 2 4 4 2 2 3" xfId="23341" xr:uid="{00000000-0005-0000-0000-0000C4120000}"/>
    <cellStyle name="20% - Accent5 2 4 4 2 3" xfId="4558" xr:uid="{00000000-0005-0000-0000-0000C5120000}"/>
    <cellStyle name="20% - Accent5 2 4 4 2 4" xfId="20758" xr:uid="{00000000-0005-0000-0000-0000C6120000}"/>
    <cellStyle name="20% - Accent5 2 4 4 3" xfId="4559" xr:uid="{00000000-0005-0000-0000-0000C7120000}"/>
    <cellStyle name="20% - Accent5 2 4 4 3 2" xfId="4560" xr:uid="{00000000-0005-0000-0000-0000C8120000}"/>
    <cellStyle name="20% - Accent5 2 4 4 3 3" xfId="22051" xr:uid="{00000000-0005-0000-0000-0000C9120000}"/>
    <cellStyle name="20% - Accent5 2 4 4 4" xfId="4561" xr:uid="{00000000-0005-0000-0000-0000CA120000}"/>
    <cellStyle name="20% - Accent5 2 4 4 5" xfId="19464" xr:uid="{00000000-0005-0000-0000-0000CB120000}"/>
    <cellStyle name="20% - Accent5 2 4 5" xfId="4562" xr:uid="{00000000-0005-0000-0000-0000CC120000}"/>
    <cellStyle name="20% - Accent5 2 4 5 2" xfId="4563" xr:uid="{00000000-0005-0000-0000-0000CD120000}"/>
    <cellStyle name="20% - Accent5 2 4 5 2 2" xfId="4564" xr:uid="{00000000-0005-0000-0000-0000CE120000}"/>
    <cellStyle name="20% - Accent5 2 4 5 2 3" xfId="22696" xr:uid="{00000000-0005-0000-0000-0000CF120000}"/>
    <cellStyle name="20% - Accent5 2 4 5 3" xfId="4565" xr:uid="{00000000-0005-0000-0000-0000D0120000}"/>
    <cellStyle name="20% - Accent5 2 4 5 4" xfId="20113" xr:uid="{00000000-0005-0000-0000-0000D1120000}"/>
    <cellStyle name="20% - Accent5 2 4 6" xfId="4566" xr:uid="{00000000-0005-0000-0000-0000D2120000}"/>
    <cellStyle name="20% - Accent5 2 4 6 2" xfId="4567" xr:uid="{00000000-0005-0000-0000-0000D3120000}"/>
    <cellStyle name="20% - Accent5 2 4 6 3" xfId="21406" xr:uid="{00000000-0005-0000-0000-0000D4120000}"/>
    <cellStyle name="20% - Accent5 2 4 7" xfId="4568" xr:uid="{00000000-0005-0000-0000-0000D5120000}"/>
    <cellStyle name="20% - Accent5 2 4 8" xfId="18805" xr:uid="{00000000-0005-0000-0000-0000D6120000}"/>
    <cellStyle name="20% - Accent5 2 5" xfId="4569" xr:uid="{00000000-0005-0000-0000-0000D7120000}"/>
    <cellStyle name="20% - Accent5 2 5 2" xfId="4570" xr:uid="{00000000-0005-0000-0000-0000D8120000}"/>
    <cellStyle name="20% - Accent5 2 5 2 2" xfId="4571" xr:uid="{00000000-0005-0000-0000-0000D9120000}"/>
    <cellStyle name="20% - Accent5 2 5 2 2 2" xfId="4572" xr:uid="{00000000-0005-0000-0000-0000DA120000}"/>
    <cellStyle name="20% - Accent5 2 5 2 2 2 2" xfId="4573" xr:uid="{00000000-0005-0000-0000-0000DB120000}"/>
    <cellStyle name="20% - Accent5 2 5 2 2 2 2 2" xfId="4574" xr:uid="{00000000-0005-0000-0000-0000DC120000}"/>
    <cellStyle name="20% - Accent5 2 5 2 2 2 2 3" xfId="23744" xr:uid="{00000000-0005-0000-0000-0000DD120000}"/>
    <cellStyle name="20% - Accent5 2 5 2 2 2 3" xfId="4575" xr:uid="{00000000-0005-0000-0000-0000DE120000}"/>
    <cellStyle name="20% - Accent5 2 5 2 2 2 4" xfId="21161" xr:uid="{00000000-0005-0000-0000-0000DF120000}"/>
    <cellStyle name="20% - Accent5 2 5 2 2 3" xfId="4576" xr:uid="{00000000-0005-0000-0000-0000E0120000}"/>
    <cellStyle name="20% - Accent5 2 5 2 2 3 2" xfId="4577" xr:uid="{00000000-0005-0000-0000-0000E1120000}"/>
    <cellStyle name="20% - Accent5 2 5 2 2 3 3" xfId="22454" xr:uid="{00000000-0005-0000-0000-0000E2120000}"/>
    <cellStyle name="20% - Accent5 2 5 2 2 4" xfId="4578" xr:uid="{00000000-0005-0000-0000-0000E3120000}"/>
    <cellStyle name="20% - Accent5 2 5 2 2 5" xfId="19867" xr:uid="{00000000-0005-0000-0000-0000E4120000}"/>
    <cellStyle name="20% - Accent5 2 5 2 3" xfId="4579" xr:uid="{00000000-0005-0000-0000-0000E5120000}"/>
    <cellStyle name="20% - Accent5 2 5 2 3 2" xfId="4580" xr:uid="{00000000-0005-0000-0000-0000E6120000}"/>
    <cellStyle name="20% - Accent5 2 5 2 3 2 2" xfId="4581" xr:uid="{00000000-0005-0000-0000-0000E7120000}"/>
    <cellStyle name="20% - Accent5 2 5 2 3 2 3" xfId="23099" xr:uid="{00000000-0005-0000-0000-0000E8120000}"/>
    <cellStyle name="20% - Accent5 2 5 2 3 3" xfId="4582" xr:uid="{00000000-0005-0000-0000-0000E9120000}"/>
    <cellStyle name="20% - Accent5 2 5 2 3 4" xfId="20516" xr:uid="{00000000-0005-0000-0000-0000EA120000}"/>
    <cellStyle name="20% - Accent5 2 5 2 4" xfId="4583" xr:uid="{00000000-0005-0000-0000-0000EB120000}"/>
    <cellStyle name="20% - Accent5 2 5 2 4 2" xfId="4584" xr:uid="{00000000-0005-0000-0000-0000EC120000}"/>
    <cellStyle name="20% - Accent5 2 5 2 4 3" xfId="21809" xr:uid="{00000000-0005-0000-0000-0000ED120000}"/>
    <cellStyle name="20% - Accent5 2 5 2 5" xfId="4585" xr:uid="{00000000-0005-0000-0000-0000EE120000}"/>
    <cellStyle name="20% - Accent5 2 5 2 6" xfId="19219" xr:uid="{00000000-0005-0000-0000-0000EF120000}"/>
    <cellStyle name="20% - Accent5 2 5 3" xfId="4586" xr:uid="{00000000-0005-0000-0000-0000F0120000}"/>
    <cellStyle name="20% - Accent5 2 5 3 2" xfId="4587" xr:uid="{00000000-0005-0000-0000-0000F1120000}"/>
    <cellStyle name="20% - Accent5 2 5 3 2 2" xfId="4588" xr:uid="{00000000-0005-0000-0000-0000F2120000}"/>
    <cellStyle name="20% - Accent5 2 5 3 2 2 2" xfId="4589" xr:uid="{00000000-0005-0000-0000-0000F3120000}"/>
    <cellStyle name="20% - Accent5 2 5 3 2 2 3" xfId="23422" xr:uid="{00000000-0005-0000-0000-0000F4120000}"/>
    <cellStyle name="20% - Accent5 2 5 3 2 3" xfId="4590" xr:uid="{00000000-0005-0000-0000-0000F5120000}"/>
    <cellStyle name="20% - Accent5 2 5 3 2 4" xfId="20839" xr:uid="{00000000-0005-0000-0000-0000F6120000}"/>
    <cellStyle name="20% - Accent5 2 5 3 3" xfId="4591" xr:uid="{00000000-0005-0000-0000-0000F7120000}"/>
    <cellStyle name="20% - Accent5 2 5 3 3 2" xfId="4592" xr:uid="{00000000-0005-0000-0000-0000F8120000}"/>
    <cellStyle name="20% - Accent5 2 5 3 3 3" xfId="22132" xr:uid="{00000000-0005-0000-0000-0000F9120000}"/>
    <cellStyle name="20% - Accent5 2 5 3 4" xfId="4593" xr:uid="{00000000-0005-0000-0000-0000FA120000}"/>
    <cellStyle name="20% - Accent5 2 5 3 5" xfId="19545" xr:uid="{00000000-0005-0000-0000-0000FB120000}"/>
    <cellStyle name="20% - Accent5 2 5 4" xfId="4594" xr:uid="{00000000-0005-0000-0000-0000FC120000}"/>
    <cellStyle name="20% - Accent5 2 5 4 2" xfId="4595" xr:uid="{00000000-0005-0000-0000-0000FD120000}"/>
    <cellStyle name="20% - Accent5 2 5 4 2 2" xfId="4596" xr:uid="{00000000-0005-0000-0000-0000FE120000}"/>
    <cellStyle name="20% - Accent5 2 5 4 2 3" xfId="22777" xr:uid="{00000000-0005-0000-0000-0000FF120000}"/>
    <cellStyle name="20% - Accent5 2 5 4 3" xfId="4597" xr:uid="{00000000-0005-0000-0000-000000130000}"/>
    <cellStyle name="20% - Accent5 2 5 4 4" xfId="20194" xr:uid="{00000000-0005-0000-0000-000001130000}"/>
    <cellStyle name="20% - Accent5 2 5 5" xfId="4598" xr:uid="{00000000-0005-0000-0000-000002130000}"/>
    <cellStyle name="20% - Accent5 2 5 5 2" xfId="4599" xr:uid="{00000000-0005-0000-0000-000003130000}"/>
    <cellStyle name="20% - Accent5 2 5 5 3" xfId="21487" xr:uid="{00000000-0005-0000-0000-000004130000}"/>
    <cellStyle name="20% - Accent5 2 5 6" xfId="4600" xr:uid="{00000000-0005-0000-0000-000005130000}"/>
    <cellStyle name="20% - Accent5 2 5 7" xfId="18893" xr:uid="{00000000-0005-0000-0000-000006130000}"/>
    <cellStyle name="20% - Accent5 2 6" xfId="4601" xr:uid="{00000000-0005-0000-0000-000007130000}"/>
    <cellStyle name="20% - Accent5 2 6 2" xfId="4602" xr:uid="{00000000-0005-0000-0000-000008130000}"/>
    <cellStyle name="20% - Accent5 2 6 2 2" xfId="4603" xr:uid="{00000000-0005-0000-0000-000009130000}"/>
    <cellStyle name="20% - Accent5 2 6 2 2 2" xfId="4604" xr:uid="{00000000-0005-0000-0000-00000A130000}"/>
    <cellStyle name="20% - Accent5 2 6 2 2 2 2" xfId="4605" xr:uid="{00000000-0005-0000-0000-00000B130000}"/>
    <cellStyle name="20% - Accent5 2 6 2 2 2 3" xfId="23583" xr:uid="{00000000-0005-0000-0000-00000C130000}"/>
    <cellStyle name="20% - Accent5 2 6 2 2 3" xfId="4606" xr:uid="{00000000-0005-0000-0000-00000D130000}"/>
    <cellStyle name="20% - Accent5 2 6 2 2 4" xfId="21000" xr:uid="{00000000-0005-0000-0000-00000E130000}"/>
    <cellStyle name="20% - Accent5 2 6 2 3" xfId="4607" xr:uid="{00000000-0005-0000-0000-00000F130000}"/>
    <cellStyle name="20% - Accent5 2 6 2 3 2" xfId="4608" xr:uid="{00000000-0005-0000-0000-000010130000}"/>
    <cellStyle name="20% - Accent5 2 6 2 3 3" xfId="22293" xr:uid="{00000000-0005-0000-0000-000011130000}"/>
    <cellStyle name="20% - Accent5 2 6 2 4" xfId="4609" xr:uid="{00000000-0005-0000-0000-000012130000}"/>
    <cellStyle name="20% - Accent5 2 6 2 5" xfId="19706" xr:uid="{00000000-0005-0000-0000-000013130000}"/>
    <cellStyle name="20% - Accent5 2 6 3" xfId="4610" xr:uid="{00000000-0005-0000-0000-000014130000}"/>
    <cellStyle name="20% - Accent5 2 6 3 2" xfId="4611" xr:uid="{00000000-0005-0000-0000-000015130000}"/>
    <cellStyle name="20% - Accent5 2 6 3 2 2" xfId="4612" xr:uid="{00000000-0005-0000-0000-000016130000}"/>
    <cellStyle name="20% - Accent5 2 6 3 2 3" xfId="22938" xr:uid="{00000000-0005-0000-0000-000017130000}"/>
    <cellStyle name="20% - Accent5 2 6 3 3" xfId="4613" xr:uid="{00000000-0005-0000-0000-000018130000}"/>
    <cellStyle name="20% - Accent5 2 6 3 4" xfId="20355" xr:uid="{00000000-0005-0000-0000-000019130000}"/>
    <cellStyle name="20% - Accent5 2 6 4" xfId="4614" xr:uid="{00000000-0005-0000-0000-00001A130000}"/>
    <cellStyle name="20% - Accent5 2 6 4 2" xfId="4615" xr:uid="{00000000-0005-0000-0000-00001B130000}"/>
    <cellStyle name="20% - Accent5 2 6 4 3" xfId="21648" xr:uid="{00000000-0005-0000-0000-00001C130000}"/>
    <cellStyle name="20% - Accent5 2 6 5" xfId="4616" xr:uid="{00000000-0005-0000-0000-00001D130000}"/>
    <cellStyle name="20% - Accent5 2 6 6" xfId="19058" xr:uid="{00000000-0005-0000-0000-00001E130000}"/>
    <cellStyle name="20% - Accent5 2 7" xfId="4617" xr:uid="{00000000-0005-0000-0000-00001F130000}"/>
    <cellStyle name="20% - Accent5 2 7 2" xfId="4618" xr:uid="{00000000-0005-0000-0000-000020130000}"/>
    <cellStyle name="20% - Accent5 2 7 2 2" xfId="4619" xr:uid="{00000000-0005-0000-0000-000021130000}"/>
    <cellStyle name="20% - Accent5 2 7 2 2 2" xfId="4620" xr:uid="{00000000-0005-0000-0000-000022130000}"/>
    <cellStyle name="20% - Accent5 2 7 2 2 3" xfId="23260" xr:uid="{00000000-0005-0000-0000-000023130000}"/>
    <cellStyle name="20% - Accent5 2 7 2 3" xfId="4621" xr:uid="{00000000-0005-0000-0000-000024130000}"/>
    <cellStyle name="20% - Accent5 2 7 2 4" xfId="20677" xr:uid="{00000000-0005-0000-0000-000025130000}"/>
    <cellStyle name="20% - Accent5 2 7 3" xfId="4622" xr:uid="{00000000-0005-0000-0000-000026130000}"/>
    <cellStyle name="20% - Accent5 2 7 3 2" xfId="4623" xr:uid="{00000000-0005-0000-0000-000027130000}"/>
    <cellStyle name="20% - Accent5 2 7 3 3" xfId="21970" xr:uid="{00000000-0005-0000-0000-000028130000}"/>
    <cellStyle name="20% - Accent5 2 7 4" xfId="4624" xr:uid="{00000000-0005-0000-0000-000029130000}"/>
    <cellStyle name="20% - Accent5 2 7 5" xfId="19384" xr:uid="{00000000-0005-0000-0000-00002A130000}"/>
    <cellStyle name="20% - Accent5 2 8" xfId="4625" xr:uid="{00000000-0005-0000-0000-00002B130000}"/>
    <cellStyle name="20% - Accent5 2 8 2" xfId="4626" xr:uid="{00000000-0005-0000-0000-00002C130000}"/>
    <cellStyle name="20% - Accent5 2 8 2 2" xfId="4627" xr:uid="{00000000-0005-0000-0000-00002D130000}"/>
    <cellStyle name="20% - Accent5 2 8 2 3" xfId="22615" xr:uid="{00000000-0005-0000-0000-00002E130000}"/>
    <cellStyle name="20% - Accent5 2 8 3" xfId="4628" xr:uid="{00000000-0005-0000-0000-00002F130000}"/>
    <cellStyle name="20% - Accent5 2 8 4" xfId="20032" xr:uid="{00000000-0005-0000-0000-000030130000}"/>
    <cellStyle name="20% - Accent5 2 9" xfId="4629" xr:uid="{00000000-0005-0000-0000-000031130000}"/>
    <cellStyle name="20% - Accent5 2 9 2" xfId="4630" xr:uid="{00000000-0005-0000-0000-000032130000}"/>
    <cellStyle name="20% - Accent5 2 9 3" xfId="21325" xr:uid="{00000000-0005-0000-0000-000033130000}"/>
    <cellStyle name="20% - Accent5 3" xfId="4631" xr:uid="{00000000-0005-0000-0000-000034130000}"/>
    <cellStyle name="20% - Accent5 3 10" xfId="18713" xr:uid="{00000000-0005-0000-0000-000035130000}"/>
    <cellStyle name="20% - Accent5 3 2" xfId="4632" xr:uid="{00000000-0005-0000-0000-000036130000}"/>
    <cellStyle name="20% - Accent5 3 2 2" xfId="4633" xr:uid="{00000000-0005-0000-0000-000037130000}"/>
    <cellStyle name="20% - Accent5 3 2 2 2" xfId="4634" xr:uid="{00000000-0005-0000-0000-000038130000}"/>
    <cellStyle name="20% - Accent5 3 2 2 2 2" xfId="4635" xr:uid="{00000000-0005-0000-0000-000039130000}"/>
    <cellStyle name="20% - Accent5 3 2 2 2 2 2" xfId="4636" xr:uid="{00000000-0005-0000-0000-00003A130000}"/>
    <cellStyle name="20% - Accent5 3 2 2 2 2 2 2" xfId="4637" xr:uid="{00000000-0005-0000-0000-00003B130000}"/>
    <cellStyle name="20% - Accent5 3 2 2 2 2 2 2 2" xfId="4638" xr:uid="{00000000-0005-0000-0000-00003C130000}"/>
    <cellStyle name="20% - Accent5 3 2 2 2 2 2 2 2 2" xfId="4639" xr:uid="{00000000-0005-0000-0000-00003D130000}"/>
    <cellStyle name="20% - Accent5 3 2 2 2 2 2 2 2 3" xfId="23874" xr:uid="{00000000-0005-0000-0000-00003E130000}"/>
    <cellStyle name="20% - Accent5 3 2 2 2 2 2 2 3" xfId="4640" xr:uid="{00000000-0005-0000-0000-00003F130000}"/>
    <cellStyle name="20% - Accent5 3 2 2 2 2 2 2 4" xfId="21291" xr:uid="{00000000-0005-0000-0000-000040130000}"/>
    <cellStyle name="20% - Accent5 3 2 2 2 2 2 3" xfId="4641" xr:uid="{00000000-0005-0000-0000-000041130000}"/>
    <cellStyle name="20% - Accent5 3 2 2 2 2 2 3 2" xfId="4642" xr:uid="{00000000-0005-0000-0000-000042130000}"/>
    <cellStyle name="20% - Accent5 3 2 2 2 2 2 3 3" xfId="22584" xr:uid="{00000000-0005-0000-0000-000043130000}"/>
    <cellStyle name="20% - Accent5 3 2 2 2 2 2 4" xfId="4643" xr:uid="{00000000-0005-0000-0000-000044130000}"/>
    <cellStyle name="20% - Accent5 3 2 2 2 2 2 5" xfId="19997" xr:uid="{00000000-0005-0000-0000-000045130000}"/>
    <cellStyle name="20% - Accent5 3 2 2 2 2 3" xfId="4644" xr:uid="{00000000-0005-0000-0000-000046130000}"/>
    <cellStyle name="20% - Accent5 3 2 2 2 2 3 2" xfId="4645" xr:uid="{00000000-0005-0000-0000-000047130000}"/>
    <cellStyle name="20% - Accent5 3 2 2 2 2 3 2 2" xfId="4646" xr:uid="{00000000-0005-0000-0000-000048130000}"/>
    <cellStyle name="20% - Accent5 3 2 2 2 2 3 2 3" xfId="23229" xr:uid="{00000000-0005-0000-0000-000049130000}"/>
    <cellStyle name="20% - Accent5 3 2 2 2 2 3 3" xfId="4647" xr:uid="{00000000-0005-0000-0000-00004A130000}"/>
    <cellStyle name="20% - Accent5 3 2 2 2 2 3 4" xfId="20646" xr:uid="{00000000-0005-0000-0000-00004B130000}"/>
    <cellStyle name="20% - Accent5 3 2 2 2 2 4" xfId="4648" xr:uid="{00000000-0005-0000-0000-00004C130000}"/>
    <cellStyle name="20% - Accent5 3 2 2 2 2 4 2" xfId="4649" xr:uid="{00000000-0005-0000-0000-00004D130000}"/>
    <cellStyle name="20% - Accent5 3 2 2 2 2 4 3" xfId="21939" xr:uid="{00000000-0005-0000-0000-00004E130000}"/>
    <cellStyle name="20% - Accent5 3 2 2 2 2 5" xfId="4650" xr:uid="{00000000-0005-0000-0000-00004F130000}"/>
    <cellStyle name="20% - Accent5 3 2 2 2 2 6" xfId="19349" xr:uid="{00000000-0005-0000-0000-000050130000}"/>
    <cellStyle name="20% - Accent5 3 2 2 2 3" xfId="4651" xr:uid="{00000000-0005-0000-0000-000051130000}"/>
    <cellStyle name="20% - Accent5 3 2 2 2 3 2" xfId="4652" xr:uid="{00000000-0005-0000-0000-000052130000}"/>
    <cellStyle name="20% - Accent5 3 2 2 2 3 2 2" xfId="4653" xr:uid="{00000000-0005-0000-0000-000053130000}"/>
    <cellStyle name="20% - Accent5 3 2 2 2 3 2 2 2" xfId="4654" xr:uid="{00000000-0005-0000-0000-000054130000}"/>
    <cellStyle name="20% - Accent5 3 2 2 2 3 2 2 3" xfId="23552" xr:uid="{00000000-0005-0000-0000-000055130000}"/>
    <cellStyle name="20% - Accent5 3 2 2 2 3 2 3" xfId="4655" xr:uid="{00000000-0005-0000-0000-000056130000}"/>
    <cellStyle name="20% - Accent5 3 2 2 2 3 2 4" xfId="20969" xr:uid="{00000000-0005-0000-0000-000057130000}"/>
    <cellStyle name="20% - Accent5 3 2 2 2 3 3" xfId="4656" xr:uid="{00000000-0005-0000-0000-000058130000}"/>
    <cellStyle name="20% - Accent5 3 2 2 2 3 3 2" xfId="4657" xr:uid="{00000000-0005-0000-0000-000059130000}"/>
    <cellStyle name="20% - Accent5 3 2 2 2 3 3 3" xfId="22262" xr:uid="{00000000-0005-0000-0000-00005A130000}"/>
    <cellStyle name="20% - Accent5 3 2 2 2 3 4" xfId="4658" xr:uid="{00000000-0005-0000-0000-00005B130000}"/>
    <cellStyle name="20% - Accent5 3 2 2 2 3 5" xfId="19675" xr:uid="{00000000-0005-0000-0000-00005C130000}"/>
    <cellStyle name="20% - Accent5 3 2 2 2 4" xfId="4659" xr:uid="{00000000-0005-0000-0000-00005D130000}"/>
    <cellStyle name="20% - Accent5 3 2 2 2 4 2" xfId="4660" xr:uid="{00000000-0005-0000-0000-00005E130000}"/>
    <cellStyle name="20% - Accent5 3 2 2 2 4 2 2" xfId="4661" xr:uid="{00000000-0005-0000-0000-00005F130000}"/>
    <cellStyle name="20% - Accent5 3 2 2 2 4 2 3" xfId="22907" xr:uid="{00000000-0005-0000-0000-000060130000}"/>
    <cellStyle name="20% - Accent5 3 2 2 2 4 3" xfId="4662" xr:uid="{00000000-0005-0000-0000-000061130000}"/>
    <cellStyle name="20% - Accent5 3 2 2 2 4 4" xfId="20324" xr:uid="{00000000-0005-0000-0000-000062130000}"/>
    <cellStyle name="20% - Accent5 3 2 2 2 5" xfId="4663" xr:uid="{00000000-0005-0000-0000-000063130000}"/>
    <cellStyle name="20% - Accent5 3 2 2 2 5 2" xfId="4664" xr:uid="{00000000-0005-0000-0000-000064130000}"/>
    <cellStyle name="20% - Accent5 3 2 2 2 5 3" xfId="21617" xr:uid="{00000000-0005-0000-0000-000065130000}"/>
    <cellStyle name="20% - Accent5 3 2 2 2 6" xfId="4665" xr:uid="{00000000-0005-0000-0000-000066130000}"/>
    <cellStyle name="20% - Accent5 3 2 2 2 7" xfId="19023" xr:uid="{00000000-0005-0000-0000-000067130000}"/>
    <cellStyle name="20% - Accent5 3 2 2 3" xfId="4666" xr:uid="{00000000-0005-0000-0000-000068130000}"/>
    <cellStyle name="20% - Accent5 3 2 2 3 2" xfId="4667" xr:uid="{00000000-0005-0000-0000-000069130000}"/>
    <cellStyle name="20% - Accent5 3 2 2 3 2 2" xfId="4668" xr:uid="{00000000-0005-0000-0000-00006A130000}"/>
    <cellStyle name="20% - Accent5 3 2 2 3 2 2 2" xfId="4669" xr:uid="{00000000-0005-0000-0000-00006B130000}"/>
    <cellStyle name="20% - Accent5 3 2 2 3 2 2 2 2" xfId="4670" xr:uid="{00000000-0005-0000-0000-00006C130000}"/>
    <cellStyle name="20% - Accent5 3 2 2 3 2 2 2 3" xfId="23713" xr:uid="{00000000-0005-0000-0000-00006D130000}"/>
    <cellStyle name="20% - Accent5 3 2 2 3 2 2 3" xfId="4671" xr:uid="{00000000-0005-0000-0000-00006E130000}"/>
    <cellStyle name="20% - Accent5 3 2 2 3 2 2 4" xfId="21130" xr:uid="{00000000-0005-0000-0000-00006F130000}"/>
    <cellStyle name="20% - Accent5 3 2 2 3 2 3" xfId="4672" xr:uid="{00000000-0005-0000-0000-000070130000}"/>
    <cellStyle name="20% - Accent5 3 2 2 3 2 3 2" xfId="4673" xr:uid="{00000000-0005-0000-0000-000071130000}"/>
    <cellStyle name="20% - Accent5 3 2 2 3 2 3 3" xfId="22423" xr:uid="{00000000-0005-0000-0000-000072130000}"/>
    <cellStyle name="20% - Accent5 3 2 2 3 2 4" xfId="4674" xr:uid="{00000000-0005-0000-0000-000073130000}"/>
    <cellStyle name="20% - Accent5 3 2 2 3 2 5" xfId="19836" xr:uid="{00000000-0005-0000-0000-000074130000}"/>
    <cellStyle name="20% - Accent5 3 2 2 3 3" xfId="4675" xr:uid="{00000000-0005-0000-0000-000075130000}"/>
    <cellStyle name="20% - Accent5 3 2 2 3 3 2" xfId="4676" xr:uid="{00000000-0005-0000-0000-000076130000}"/>
    <cellStyle name="20% - Accent5 3 2 2 3 3 2 2" xfId="4677" xr:uid="{00000000-0005-0000-0000-000077130000}"/>
    <cellStyle name="20% - Accent5 3 2 2 3 3 2 3" xfId="23068" xr:uid="{00000000-0005-0000-0000-000078130000}"/>
    <cellStyle name="20% - Accent5 3 2 2 3 3 3" xfId="4678" xr:uid="{00000000-0005-0000-0000-000079130000}"/>
    <cellStyle name="20% - Accent5 3 2 2 3 3 4" xfId="20485" xr:uid="{00000000-0005-0000-0000-00007A130000}"/>
    <cellStyle name="20% - Accent5 3 2 2 3 4" xfId="4679" xr:uid="{00000000-0005-0000-0000-00007B130000}"/>
    <cellStyle name="20% - Accent5 3 2 2 3 4 2" xfId="4680" xr:uid="{00000000-0005-0000-0000-00007C130000}"/>
    <cellStyle name="20% - Accent5 3 2 2 3 4 3" xfId="21778" xr:uid="{00000000-0005-0000-0000-00007D130000}"/>
    <cellStyle name="20% - Accent5 3 2 2 3 5" xfId="4681" xr:uid="{00000000-0005-0000-0000-00007E130000}"/>
    <cellStyle name="20% - Accent5 3 2 2 3 6" xfId="19188" xr:uid="{00000000-0005-0000-0000-00007F130000}"/>
    <cellStyle name="20% - Accent5 3 2 2 4" xfId="4682" xr:uid="{00000000-0005-0000-0000-000080130000}"/>
    <cellStyle name="20% - Accent5 3 2 2 4 2" xfId="4683" xr:uid="{00000000-0005-0000-0000-000081130000}"/>
    <cellStyle name="20% - Accent5 3 2 2 4 2 2" xfId="4684" xr:uid="{00000000-0005-0000-0000-000082130000}"/>
    <cellStyle name="20% - Accent5 3 2 2 4 2 2 2" xfId="4685" xr:uid="{00000000-0005-0000-0000-000083130000}"/>
    <cellStyle name="20% - Accent5 3 2 2 4 2 2 3" xfId="23391" xr:uid="{00000000-0005-0000-0000-000084130000}"/>
    <cellStyle name="20% - Accent5 3 2 2 4 2 3" xfId="4686" xr:uid="{00000000-0005-0000-0000-000085130000}"/>
    <cellStyle name="20% - Accent5 3 2 2 4 2 4" xfId="20808" xr:uid="{00000000-0005-0000-0000-000086130000}"/>
    <cellStyle name="20% - Accent5 3 2 2 4 3" xfId="4687" xr:uid="{00000000-0005-0000-0000-000087130000}"/>
    <cellStyle name="20% - Accent5 3 2 2 4 3 2" xfId="4688" xr:uid="{00000000-0005-0000-0000-000088130000}"/>
    <cellStyle name="20% - Accent5 3 2 2 4 3 3" xfId="22101" xr:uid="{00000000-0005-0000-0000-000089130000}"/>
    <cellStyle name="20% - Accent5 3 2 2 4 4" xfId="4689" xr:uid="{00000000-0005-0000-0000-00008A130000}"/>
    <cellStyle name="20% - Accent5 3 2 2 4 5" xfId="19514" xr:uid="{00000000-0005-0000-0000-00008B130000}"/>
    <cellStyle name="20% - Accent5 3 2 2 5" xfId="4690" xr:uid="{00000000-0005-0000-0000-00008C130000}"/>
    <cellStyle name="20% - Accent5 3 2 2 5 2" xfId="4691" xr:uid="{00000000-0005-0000-0000-00008D130000}"/>
    <cellStyle name="20% - Accent5 3 2 2 5 2 2" xfId="4692" xr:uid="{00000000-0005-0000-0000-00008E130000}"/>
    <cellStyle name="20% - Accent5 3 2 2 5 2 3" xfId="22746" xr:uid="{00000000-0005-0000-0000-00008F130000}"/>
    <cellStyle name="20% - Accent5 3 2 2 5 3" xfId="4693" xr:uid="{00000000-0005-0000-0000-000090130000}"/>
    <cellStyle name="20% - Accent5 3 2 2 5 4" xfId="20163" xr:uid="{00000000-0005-0000-0000-000091130000}"/>
    <cellStyle name="20% - Accent5 3 2 2 6" xfId="4694" xr:uid="{00000000-0005-0000-0000-000092130000}"/>
    <cellStyle name="20% - Accent5 3 2 2 6 2" xfId="4695" xr:uid="{00000000-0005-0000-0000-000093130000}"/>
    <cellStyle name="20% - Accent5 3 2 2 6 3" xfId="21456" xr:uid="{00000000-0005-0000-0000-000094130000}"/>
    <cellStyle name="20% - Accent5 3 2 2 7" xfId="4696" xr:uid="{00000000-0005-0000-0000-000095130000}"/>
    <cellStyle name="20% - Accent5 3 2 2 8" xfId="18858" xr:uid="{00000000-0005-0000-0000-000096130000}"/>
    <cellStyle name="20% - Accent5 3 2 3" xfId="4697" xr:uid="{00000000-0005-0000-0000-000097130000}"/>
    <cellStyle name="20% - Accent5 3 2 3 2" xfId="4698" xr:uid="{00000000-0005-0000-0000-000098130000}"/>
    <cellStyle name="20% - Accent5 3 2 3 2 2" xfId="4699" xr:uid="{00000000-0005-0000-0000-000099130000}"/>
    <cellStyle name="20% - Accent5 3 2 3 2 2 2" xfId="4700" xr:uid="{00000000-0005-0000-0000-00009A130000}"/>
    <cellStyle name="20% - Accent5 3 2 3 2 2 2 2" xfId="4701" xr:uid="{00000000-0005-0000-0000-00009B130000}"/>
    <cellStyle name="20% - Accent5 3 2 3 2 2 2 2 2" xfId="4702" xr:uid="{00000000-0005-0000-0000-00009C130000}"/>
    <cellStyle name="20% - Accent5 3 2 3 2 2 2 2 3" xfId="23794" xr:uid="{00000000-0005-0000-0000-00009D130000}"/>
    <cellStyle name="20% - Accent5 3 2 3 2 2 2 3" xfId="4703" xr:uid="{00000000-0005-0000-0000-00009E130000}"/>
    <cellStyle name="20% - Accent5 3 2 3 2 2 2 4" xfId="21211" xr:uid="{00000000-0005-0000-0000-00009F130000}"/>
    <cellStyle name="20% - Accent5 3 2 3 2 2 3" xfId="4704" xr:uid="{00000000-0005-0000-0000-0000A0130000}"/>
    <cellStyle name="20% - Accent5 3 2 3 2 2 3 2" xfId="4705" xr:uid="{00000000-0005-0000-0000-0000A1130000}"/>
    <cellStyle name="20% - Accent5 3 2 3 2 2 3 3" xfId="22504" xr:uid="{00000000-0005-0000-0000-0000A2130000}"/>
    <cellStyle name="20% - Accent5 3 2 3 2 2 4" xfId="4706" xr:uid="{00000000-0005-0000-0000-0000A3130000}"/>
    <cellStyle name="20% - Accent5 3 2 3 2 2 5" xfId="19917" xr:uid="{00000000-0005-0000-0000-0000A4130000}"/>
    <cellStyle name="20% - Accent5 3 2 3 2 3" xfId="4707" xr:uid="{00000000-0005-0000-0000-0000A5130000}"/>
    <cellStyle name="20% - Accent5 3 2 3 2 3 2" xfId="4708" xr:uid="{00000000-0005-0000-0000-0000A6130000}"/>
    <cellStyle name="20% - Accent5 3 2 3 2 3 2 2" xfId="4709" xr:uid="{00000000-0005-0000-0000-0000A7130000}"/>
    <cellStyle name="20% - Accent5 3 2 3 2 3 2 3" xfId="23149" xr:uid="{00000000-0005-0000-0000-0000A8130000}"/>
    <cellStyle name="20% - Accent5 3 2 3 2 3 3" xfId="4710" xr:uid="{00000000-0005-0000-0000-0000A9130000}"/>
    <cellStyle name="20% - Accent5 3 2 3 2 3 4" xfId="20566" xr:uid="{00000000-0005-0000-0000-0000AA130000}"/>
    <cellStyle name="20% - Accent5 3 2 3 2 4" xfId="4711" xr:uid="{00000000-0005-0000-0000-0000AB130000}"/>
    <cellStyle name="20% - Accent5 3 2 3 2 4 2" xfId="4712" xr:uid="{00000000-0005-0000-0000-0000AC130000}"/>
    <cellStyle name="20% - Accent5 3 2 3 2 4 3" xfId="21859" xr:uid="{00000000-0005-0000-0000-0000AD130000}"/>
    <cellStyle name="20% - Accent5 3 2 3 2 5" xfId="4713" xr:uid="{00000000-0005-0000-0000-0000AE130000}"/>
    <cellStyle name="20% - Accent5 3 2 3 2 6" xfId="19269" xr:uid="{00000000-0005-0000-0000-0000AF130000}"/>
    <cellStyle name="20% - Accent5 3 2 3 3" xfId="4714" xr:uid="{00000000-0005-0000-0000-0000B0130000}"/>
    <cellStyle name="20% - Accent5 3 2 3 3 2" xfId="4715" xr:uid="{00000000-0005-0000-0000-0000B1130000}"/>
    <cellStyle name="20% - Accent5 3 2 3 3 2 2" xfId="4716" xr:uid="{00000000-0005-0000-0000-0000B2130000}"/>
    <cellStyle name="20% - Accent5 3 2 3 3 2 2 2" xfId="4717" xr:uid="{00000000-0005-0000-0000-0000B3130000}"/>
    <cellStyle name="20% - Accent5 3 2 3 3 2 2 3" xfId="23472" xr:uid="{00000000-0005-0000-0000-0000B4130000}"/>
    <cellStyle name="20% - Accent5 3 2 3 3 2 3" xfId="4718" xr:uid="{00000000-0005-0000-0000-0000B5130000}"/>
    <cellStyle name="20% - Accent5 3 2 3 3 2 4" xfId="20889" xr:uid="{00000000-0005-0000-0000-0000B6130000}"/>
    <cellStyle name="20% - Accent5 3 2 3 3 3" xfId="4719" xr:uid="{00000000-0005-0000-0000-0000B7130000}"/>
    <cellStyle name="20% - Accent5 3 2 3 3 3 2" xfId="4720" xr:uid="{00000000-0005-0000-0000-0000B8130000}"/>
    <cellStyle name="20% - Accent5 3 2 3 3 3 3" xfId="22182" xr:uid="{00000000-0005-0000-0000-0000B9130000}"/>
    <cellStyle name="20% - Accent5 3 2 3 3 4" xfId="4721" xr:uid="{00000000-0005-0000-0000-0000BA130000}"/>
    <cellStyle name="20% - Accent5 3 2 3 3 5" xfId="19595" xr:uid="{00000000-0005-0000-0000-0000BB130000}"/>
    <cellStyle name="20% - Accent5 3 2 3 4" xfId="4722" xr:uid="{00000000-0005-0000-0000-0000BC130000}"/>
    <cellStyle name="20% - Accent5 3 2 3 4 2" xfId="4723" xr:uid="{00000000-0005-0000-0000-0000BD130000}"/>
    <cellStyle name="20% - Accent5 3 2 3 4 2 2" xfId="4724" xr:uid="{00000000-0005-0000-0000-0000BE130000}"/>
    <cellStyle name="20% - Accent5 3 2 3 4 2 3" xfId="22827" xr:uid="{00000000-0005-0000-0000-0000BF130000}"/>
    <cellStyle name="20% - Accent5 3 2 3 4 3" xfId="4725" xr:uid="{00000000-0005-0000-0000-0000C0130000}"/>
    <cellStyle name="20% - Accent5 3 2 3 4 4" xfId="20244" xr:uid="{00000000-0005-0000-0000-0000C1130000}"/>
    <cellStyle name="20% - Accent5 3 2 3 5" xfId="4726" xr:uid="{00000000-0005-0000-0000-0000C2130000}"/>
    <cellStyle name="20% - Accent5 3 2 3 5 2" xfId="4727" xr:uid="{00000000-0005-0000-0000-0000C3130000}"/>
    <cellStyle name="20% - Accent5 3 2 3 5 3" xfId="21537" xr:uid="{00000000-0005-0000-0000-0000C4130000}"/>
    <cellStyle name="20% - Accent5 3 2 3 6" xfId="4728" xr:uid="{00000000-0005-0000-0000-0000C5130000}"/>
    <cellStyle name="20% - Accent5 3 2 3 7" xfId="18943" xr:uid="{00000000-0005-0000-0000-0000C6130000}"/>
    <cellStyle name="20% - Accent5 3 2 4" xfId="4729" xr:uid="{00000000-0005-0000-0000-0000C7130000}"/>
    <cellStyle name="20% - Accent5 3 2 4 2" xfId="4730" xr:uid="{00000000-0005-0000-0000-0000C8130000}"/>
    <cellStyle name="20% - Accent5 3 2 4 2 2" xfId="4731" xr:uid="{00000000-0005-0000-0000-0000C9130000}"/>
    <cellStyle name="20% - Accent5 3 2 4 2 2 2" xfId="4732" xr:uid="{00000000-0005-0000-0000-0000CA130000}"/>
    <cellStyle name="20% - Accent5 3 2 4 2 2 2 2" xfId="4733" xr:uid="{00000000-0005-0000-0000-0000CB130000}"/>
    <cellStyle name="20% - Accent5 3 2 4 2 2 2 3" xfId="23633" xr:uid="{00000000-0005-0000-0000-0000CC130000}"/>
    <cellStyle name="20% - Accent5 3 2 4 2 2 3" xfId="4734" xr:uid="{00000000-0005-0000-0000-0000CD130000}"/>
    <cellStyle name="20% - Accent5 3 2 4 2 2 4" xfId="21050" xr:uid="{00000000-0005-0000-0000-0000CE130000}"/>
    <cellStyle name="20% - Accent5 3 2 4 2 3" xfId="4735" xr:uid="{00000000-0005-0000-0000-0000CF130000}"/>
    <cellStyle name="20% - Accent5 3 2 4 2 3 2" xfId="4736" xr:uid="{00000000-0005-0000-0000-0000D0130000}"/>
    <cellStyle name="20% - Accent5 3 2 4 2 3 3" xfId="22343" xr:uid="{00000000-0005-0000-0000-0000D1130000}"/>
    <cellStyle name="20% - Accent5 3 2 4 2 4" xfId="4737" xr:uid="{00000000-0005-0000-0000-0000D2130000}"/>
    <cellStyle name="20% - Accent5 3 2 4 2 5" xfId="19756" xr:uid="{00000000-0005-0000-0000-0000D3130000}"/>
    <cellStyle name="20% - Accent5 3 2 4 3" xfId="4738" xr:uid="{00000000-0005-0000-0000-0000D4130000}"/>
    <cellStyle name="20% - Accent5 3 2 4 3 2" xfId="4739" xr:uid="{00000000-0005-0000-0000-0000D5130000}"/>
    <cellStyle name="20% - Accent5 3 2 4 3 2 2" xfId="4740" xr:uid="{00000000-0005-0000-0000-0000D6130000}"/>
    <cellStyle name="20% - Accent5 3 2 4 3 2 3" xfId="22988" xr:uid="{00000000-0005-0000-0000-0000D7130000}"/>
    <cellStyle name="20% - Accent5 3 2 4 3 3" xfId="4741" xr:uid="{00000000-0005-0000-0000-0000D8130000}"/>
    <cellStyle name="20% - Accent5 3 2 4 3 4" xfId="20405" xr:uid="{00000000-0005-0000-0000-0000D9130000}"/>
    <cellStyle name="20% - Accent5 3 2 4 4" xfId="4742" xr:uid="{00000000-0005-0000-0000-0000DA130000}"/>
    <cellStyle name="20% - Accent5 3 2 4 4 2" xfId="4743" xr:uid="{00000000-0005-0000-0000-0000DB130000}"/>
    <cellStyle name="20% - Accent5 3 2 4 4 3" xfId="21698" xr:uid="{00000000-0005-0000-0000-0000DC130000}"/>
    <cellStyle name="20% - Accent5 3 2 4 5" xfId="4744" xr:uid="{00000000-0005-0000-0000-0000DD130000}"/>
    <cellStyle name="20% - Accent5 3 2 4 6" xfId="19108" xr:uid="{00000000-0005-0000-0000-0000DE130000}"/>
    <cellStyle name="20% - Accent5 3 2 5" xfId="4745" xr:uid="{00000000-0005-0000-0000-0000DF130000}"/>
    <cellStyle name="20% - Accent5 3 2 5 2" xfId="4746" xr:uid="{00000000-0005-0000-0000-0000E0130000}"/>
    <cellStyle name="20% - Accent5 3 2 5 2 2" xfId="4747" xr:uid="{00000000-0005-0000-0000-0000E1130000}"/>
    <cellStyle name="20% - Accent5 3 2 5 2 2 2" xfId="4748" xr:uid="{00000000-0005-0000-0000-0000E2130000}"/>
    <cellStyle name="20% - Accent5 3 2 5 2 2 3" xfId="23310" xr:uid="{00000000-0005-0000-0000-0000E3130000}"/>
    <cellStyle name="20% - Accent5 3 2 5 2 3" xfId="4749" xr:uid="{00000000-0005-0000-0000-0000E4130000}"/>
    <cellStyle name="20% - Accent5 3 2 5 2 4" xfId="20727" xr:uid="{00000000-0005-0000-0000-0000E5130000}"/>
    <cellStyle name="20% - Accent5 3 2 5 3" xfId="4750" xr:uid="{00000000-0005-0000-0000-0000E6130000}"/>
    <cellStyle name="20% - Accent5 3 2 5 3 2" xfId="4751" xr:uid="{00000000-0005-0000-0000-0000E7130000}"/>
    <cellStyle name="20% - Accent5 3 2 5 3 3" xfId="22020" xr:uid="{00000000-0005-0000-0000-0000E8130000}"/>
    <cellStyle name="20% - Accent5 3 2 5 4" xfId="4752" xr:uid="{00000000-0005-0000-0000-0000E9130000}"/>
    <cellStyle name="20% - Accent5 3 2 5 5" xfId="19434" xr:uid="{00000000-0005-0000-0000-0000EA130000}"/>
    <cellStyle name="20% - Accent5 3 2 6" xfId="4753" xr:uid="{00000000-0005-0000-0000-0000EB130000}"/>
    <cellStyle name="20% - Accent5 3 2 6 2" xfId="4754" xr:uid="{00000000-0005-0000-0000-0000EC130000}"/>
    <cellStyle name="20% - Accent5 3 2 6 2 2" xfId="4755" xr:uid="{00000000-0005-0000-0000-0000ED130000}"/>
    <cellStyle name="20% - Accent5 3 2 6 2 3" xfId="22665" xr:uid="{00000000-0005-0000-0000-0000EE130000}"/>
    <cellStyle name="20% - Accent5 3 2 6 3" xfId="4756" xr:uid="{00000000-0005-0000-0000-0000EF130000}"/>
    <cellStyle name="20% - Accent5 3 2 6 4" xfId="20082" xr:uid="{00000000-0005-0000-0000-0000F0130000}"/>
    <cellStyle name="20% - Accent5 3 2 7" xfId="4757" xr:uid="{00000000-0005-0000-0000-0000F1130000}"/>
    <cellStyle name="20% - Accent5 3 2 7 2" xfId="4758" xr:uid="{00000000-0005-0000-0000-0000F2130000}"/>
    <cellStyle name="20% - Accent5 3 2 7 3" xfId="21375" xr:uid="{00000000-0005-0000-0000-0000F3130000}"/>
    <cellStyle name="20% - Accent5 3 2 8" xfId="4759" xr:uid="{00000000-0005-0000-0000-0000F4130000}"/>
    <cellStyle name="20% - Accent5 3 2 9" xfId="18761" xr:uid="{00000000-0005-0000-0000-0000F5130000}"/>
    <cellStyle name="20% - Accent5 3 3" xfId="4760" xr:uid="{00000000-0005-0000-0000-0000F6130000}"/>
    <cellStyle name="20% - Accent5 3 3 2" xfId="4761" xr:uid="{00000000-0005-0000-0000-0000F7130000}"/>
    <cellStyle name="20% - Accent5 3 3 2 2" xfId="4762" xr:uid="{00000000-0005-0000-0000-0000F8130000}"/>
    <cellStyle name="20% - Accent5 3 3 2 2 2" xfId="4763" xr:uid="{00000000-0005-0000-0000-0000F9130000}"/>
    <cellStyle name="20% - Accent5 3 3 2 2 2 2" xfId="4764" xr:uid="{00000000-0005-0000-0000-0000FA130000}"/>
    <cellStyle name="20% - Accent5 3 3 2 2 2 2 2" xfId="4765" xr:uid="{00000000-0005-0000-0000-0000FB130000}"/>
    <cellStyle name="20% - Accent5 3 3 2 2 2 2 2 2" xfId="4766" xr:uid="{00000000-0005-0000-0000-0000FC130000}"/>
    <cellStyle name="20% - Accent5 3 3 2 2 2 2 2 3" xfId="23834" xr:uid="{00000000-0005-0000-0000-0000FD130000}"/>
    <cellStyle name="20% - Accent5 3 3 2 2 2 2 3" xfId="4767" xr:uid="{00000000-0005-0000-0000-0000FE130000}"/>
    <cellStyle name="20% - Accent5 3 3 2 2 2 2 4" xfId="21251" xr:uid="{00000000-0005-0000-0000-0000FF130000}"/>
    <cellStyle name="20% - Accent5 3 3 2 2 2 3" xfId="4768" xr:uid="{00000000-0005-0000-0000-000000140000}"/>
    <cellStyle name="20% - Accent5 3 3 2 2 2 3 2" xfId="4769" xr:uid="{00000000-0005-0000-0000-000001140000}"/>
    <cellStyle name="20% - Accent5 3 3 2 2 2 3 3" xfId="22544" xr:uid="{00000000-0005-0000-0000-000002140000}"/>
    <cellStyle name="20% - Accent5 3 3 2 2 2 4" xfId="4770" xr:uid="{00000000-0005-0000-0000-000003140000}"/>
    <cellStyle name="20% - Accent5 3 3 2 2 2 5" xfId="19957" xr:uid="{00000000-0005-0000-0000-000004140000}"/>
    <cellStyle name="20% - Accent5 3 3 2 2 3" xfId="4771" xr:uid="{00000000-0005-0000-0000-000005140000}"/>
    <cellStyle name="20% - Accent5 3 3 2 2 3 2" xfId="4772" xr:uid="{00000000-0005-0000-0000-000006140000}"/>
    <cellStyle name="20% - Accent5 3 3 2 2 3 2 2" xfId="4773" xr:uid="{00000000-0005-0000-0000-000007140000}"/>
    <cellStyle name="20% - Accent5 3 3 2 2 3 2 3" xfId="23189" xr:uid="{00000000-0005-0000-0000-000008140000}"/>
    <cellStyle name="20% - Accent5 3 3 2 2 3 3" xfId="4774" xr:uid="{00000000-0005-0000-0000-000009140000}"/>
    <cellStyle name="20% - Accent5 3 3 2 2 3 4" xfId="20606" xr:uid="{00000000-0005-0000-0000-00000A140000}"/>
    <cellStyle name="20% - Accent5 3 3 2 2 4" xfId="4775" xr:uid="{00000000-0005-0000-0000-00000B140000}"/>
    <cellStyle name="20% - Accent5 3 3 2 2 4 2" xfId="4776" xr:uid="{00000000-0005-0000-0000-00000C140000}"/>
    <cellStyle name="20% - Accent5 3 3 2 2 4 3" xfId="21899" xr:uid="{00000000-0005-0000-0000-00000D140000}"/>
    <cellStyle name="20% - Accent5 3 3 2 2 5" xfId="4777" xr:uid="{00000000-0005-0000-0000-00000E140000}"/>
    <cellStyle name="20% - Accent5 3 3 2 2 6" xfId="19309" xr:uid="{00000000-0005-0000-0000-00000F140000}"/>
    <cellStyle name="20% - Accent5 3 3 2 3" xfId="4778" xr:uid="{00000000-0005-0000-0000-000010140000}"/>
    <cellStyle name="20% - Accent5 3 3 2 3 2" xfId="4779" xr:uid="{00000000-0005-0000-0000-000011140000}"/>
    <cellStyle name="20% - Accent5 3 3 2 3 2 2" xfId="4780" xr:uid="{00000000-0005-0000-0000-000012140000}"/>
    <cellStyle name="20% - Accent5 3 3 2 3 2 2 2" xfId="4781" xr:uid="{00000000-0005-0000-0000-000013140000}"/>
    <cellStyle name="20% - Accent5 3 3 2 3 2 2 3" xfId="23512" xr:uid="{00000000-0005-0000-0000-000014140000}"/>
    <cellStyle name="20% - Accent5 3 3 2 3 2 3" xfId="4782" xr:uid="{00000000-0005-0000-0000-000015140000}"/>
    <cellStyle name="20% - Accent5 3 3 2 3 2 4" xfId="20929" xr:uid="{00000000-0005-0000-0000-000016140000}"/>
    <cellStyle name="20% - Accent5 3 3 2 3 3" xfId="4783" xr:uid="{00000000-0005-0000-0000-000017140000}"/>
    <cellStyle name="20% - Accent5 3 3 2 3 3 2" xfId="4784" xr:uid="{00000000-0005-0000-0000-000018140000}"/>
    <cellStyle name="20% - Accent5 3 3 2 3 3 3" xfId="22222" xr:uid="{00000000-0005-0000-0000-000019140000}"/>
    <cellStyle name="20% - Accent5 3 3 2 3 4" xfId="4785" xr:uid="{00000000-0005-0000-0000-00001A140000}"/>
    <cellStyle name="20% - Accent5 3 3 2 3 5" xfId="19635" xr:uid="{00000000-0005-0000-0000-00001B140000}"/>
    <cellStyle name="20% - Accent5 3 3 2 4" xfId="4786" xr:uid="{00000000-0005-0000-0000-00001C140000}"/>
    <cellStyle name="20% - Accent5 3 3 2 4 2" xfId="4787" xr:uid="{00000000-0005-0000-0000-00001D140000}"/>
    <cellStyle name="20% - Accent5 3 3 2 4 2 2" xfId="4788" xr:uid="{00000000-0005-0000-0000-00001E140000}"/>
    <cellStyle name="20% - Accent5 3 3 2 4 2 3" xfId="22867" xr:uid="{00000000-0005-0000-0000-00001F140000}"/>
    <cellStyle name="20% - Accent5 3 3 2 4 3" xfId="4789" xr:uid="{00000000-0005-0000-0000-000020140000}"/>
    <cellStyle name="20% - Accent5 3 3 2 4 4" xfId="20284" xr:uid="{00000000-0005-0000-0000-000021140000}"/>
    <cellStyle name="20% - Accent5 3 3 2 5" xfId="4790" xr:uid="{00000000-0005-0000-0000-000022140000}"/>
    <cellStyle name="20% - Accent5 3 3 2 5 2" xfId="4791" xr:uid="{00000000-0005-0000-0000-000023140000}"/>
    <cellStyle name="20% - Accent5 3 3 2 5 3" xfId="21577" xr:uid="{00000000-0005-0000-0000-000024140000}"/>
    <cellStyle name="20% - Accent5 3 3 2 6" xfId="4792" xr:uid="{00000000-0005-0000-0000-000025140000}"/>
    <cellStyle name="20% - Accent5 3 3 2 7" xfId="18983" xr:uid="{00000000-0005-0000-0000-000026140000}"/>
    <cellStyle name="20% - Accent5 3 3 3" xfId="4793" xr:uid="{00000000-0005-0000-0000-000027140000}"/>
    <cellStyle name="20% - Accent5 3 3 3 2" xfId="4794" xr:uid="{00000000-0005-0000-0000-000028140000}"/>
    <cellStyle name="20% - Accent5 3 3 3 2 2" xfId="4795" xr:uid="{00000000-0005-0000-0000-000029140000}"/>
    <cellStyle name="20% - Accent5 3 3 3 2 2 2" xfId="4796" xr:uid="{00000000-0005-0000-0000-00002A140000}"/>
    <cellStyle name="20% - Accent5 3 3 3 2 2 2 2" xfId="4797" xr:uid="{00000000-0005-0000-0000-00002B140000}"/>
    <cellStyle name="20% - Accent5 3 3 3 2 2 2 3" xfId="23673" xr:uid="{00000000-0005-0000-0000-00002C140000}"/>
    <cellStyle name="20% - Accent5 3 3 3 2 2 3" xfId="4798" xr:uid="{00000000-0005-0000-0000-00002D140000}"/>
    <cellStyle name="20% - Accent5 3 3 3 2 2 4" xfId="21090" xr:uid="{00000000-0005-0000-0000-00002E140000}"/>
    <cellStyle name="20% - Accent5 3 3 3 2 3" xfId="4799" xr:uid="{00000000-0005-0000-0000-00002F140000}"/>
    <cellStyle name="20% - Accent5 3 3 3 2 3 2" xfId="4800" xr:uid="{00000000-0005-0000-0000-000030140000}"/>
    <cellStyle name="20% - Accent5 3 3 3 2 3 3" xfId="22383" xr:uid="{00000000-0005-0000-0000-000031140000}"/>
    <cellStyle name="20% - Accent5 3 3 3 2 4" xfId="4801" xr:uid="{00000000-0005-0000-0000-000032140000}"/>
    <cellStyle name="20% - Accent5 3 3 3 2 5" xfId="19796" xr:uid="{00000000-0005-0000-0000-000033140000}"/>
    <cellStyle name="20% - Accent5 3 3 3 3" xfId="4802" xr:uid="{00000000-0005-0000-0000-000034140000}"/>
    <cellStyle name="20% - Accent5 3 3 3 3 2" xfId="4803" xr:uid="{00000000-0005-0000-0000-000035140000}"/>
    <cellStyle name="20% - Accent5 3 3 3 3 2 2" xfId="4804" xr:uid="{00000000-0005-0000-0000-000036140000}"/>
    <cellStyle name="20% - Accent5 3 3 3 3 2 3" xfId="23028" xr:uid="{00000000-0005-0000-0000-000037140000}"/>
    <cellStyle name="20% - Accent5 3 3 3 3 3" xfId="4805" xr:uid="{00000000-0005-0000-0000-000038140000}"/>
    <cellStyle name="20% - Accent5 3 3 3 3 4" xfId="20445" xr:uid="{00000000-0005-0000-0000-000039140000}"/>
    <cellStyle name="20% - Accent5 3 3 3 4" xfId="4806" xr:uid="{00000000-0005-0000-0000-00003A140000}"/>
    <cellStyle name="20% - Accent5 3 3 3 4 2" xfId="4807" xr:uid="{00000000-0005-0000-0000-00003B140000}"/>
    <cellStyle name="20% - Accent5 3 3 3 4 3" xfId="21738" xr:uid="{00000000-0005-0000-0000-00003C140000}"/>
    <cellStyle name="20% - Accent5 3 3 3 5" xfId="4808" xr:uid="{00000000-0005-0000-0000-00003D140000}"/>
    <cellStyle name="20% - Accent5 3 3 3 6" xfId="19148" xr:uid="{00000000-0005-0000-0000-00003E140000}"/>
    <cellStyle name="20% - Accent5 3 3 4" xfId="4809" xr:uid="{00000000-0005-0000-0000-00003F140000}"/>
    <cellStyle name="20% - Accent5 3 3 4 2" xfId="4810" xr:uid="{00000000-0005-0000-0000-000040140000}"/>
    <cellStyle name="20% - Accent5 3 3 4 2 2" xfId="4811" xr:uid="{00000000-0005-0000-0000-000041140000}"/>
    <cellStyle name="20% - Accent5 3 3 4 2 2 2" xfId="4812" xr:uid="{00000000-0005-0000-0000-000042140000}"/>
    <cellStyle name="20% - Accent5 3 3 4 2 2 3" xfId="23351" xr:uid="{00000000-0005-0000-0000-000043140000}"/>
    <cellStyle name="20% - Accent5 3 3 4 2 3" xfId="4813" xr:uid="{00000000-0005-0000-0000-000044140000}"/>
    <cellStyle name="20% - Accent5 3 3 4 2 4" xfId="20768" xr:uid="{00000000-0005-0000-0000-000045140000}"/>
    <cellStyle name="20% - Accent5 3 3 4 3" xfId="4814" xr:uid="{00000000-0005-0000-0000-000046140000}"/>
    <cellStyle name="20% - Accent5 3 3 4 3 2" xfId="4815" xr:uid="{00000000-0005-0000-0000-000047140000}"/>
    <cellStyle name="20% - Accent5 3 3 4 3 3" xfId="22061" xr:uid="{00000000-0005-0000-0000-000048140000}"/>
    <cellStyle name="20% - Accent5 3 3 4 4" xfId="4816" xr:uid="{00000000-0005-0000-0000-000049140000}"/>
    <cellStyle name="20% - Accent5 3 3 4 5" xfId="19474" xr:uid="{00000000-0005-0000-0000-00004A140000}"/>
    <cellStyle name="20% - Accent5 3 3 5" xfId="4817" xr:uid="{00000000-0005-0000-0000-00004B140000}"/>
    <cellStyle name="20% - Accent5 3 3 5 2" xfId="4818" xr:uid="{00000000-0005-0000-0000-00004C140000}"/>
    <cellStyle name="20% - Accent5 3 3 5 2 2" xfId="4819" xr:uid="{00000000-0005-0000-0000-00004D140000}"/>
    <cellStyle name="20% - Accent5 3 3 5 2 3" xfId="22706" xr:uid="{00000000-0005-0000-0000-00004E140000}"/>
    <cellStyle name="20% - Accent5 3 3 5 3" xfId="4820" xr:uid="{00000000-0005-0000-0000-00004F140000}"/>
    <cellStyle name="20% - Accent5 3 3 5 4" xfId="20123" xr:uid="{00000000-0005-0000-0000-000050140000}"/>
    <cellStyle name="20% - Accent5 3 3 6" xfId="4821" xr:uid="{00000000-0005-0000-0000-000051140000}"/>
    <cellStyle name="20% - Accent5 3 3 6 2" xfId="4822" xr:uid="{00000000-0005-0000-0000-000052140000}"/>
    <cellStyle name="20% - Accent5 3 3 6 3" xfId="21416" xr:uid="{00000000-0005-0000-0000-000053140000}"/>
    <cellStyle name="20% - Accent5 3 3 7" xfId="4823" xr:uid="{00000000-0005-0000-0000-000054140000}"/>
    <cellStyle name="20% - Accent5 3 3 8" xfId="18816" xr:uid="{00000000-0005-0000-0000-000055140000}"/>
    <cellStyle name="20% - Accent5 3 4" xfId="4824" xr:uid="{00000000-0005-0000-0000-000056140000}"/>
    <cellStyle name="20% - Accent5 3 4 2" xfId="4825" xr:uid="{00000000-0005-0000-0000-000057140000}"/>
    <cellStyle name="20% - Accent5 3 4 2 2" xfId="4826" xr:uid="{00000000-0005-0000-0000-000058140000}"/>
    <cellStyle name="20% - Accent5 3 4 2 2 2" xfId="4827" xr:uid="{00000000-0005-0000-0000-000059140000}"/>
    <cellStyle name="20% - Accent5 3 4 2 2 2 2" xfId="4828" xr:uid="{00000000-0005-0000-0000-00005A140000}"/>
    <cellStyle name="20% - Accent5 3 4 2 2 2 2 2" xfId="4829" xr:uid="{00000000-0005-0000-0000-00005B140000}"/>
    <cellStyle name="20% - Accent5 3 4 2 2 2 2 3" xfId="23754" xr:uid="{00000000-0005-0000-0000-00005C140000}"/>
    <cellStyle name="20% - Accent5 3 4 2 2 2 3" xfId="4830" xr:uid="{00000000-0005-0000-0000-00005D140000}"/>
    <cellStyle name="20% - Accent5 3 4 2 2 2 4" xfId="21171" xr:uid="{00000000-0005-0000-0000-00005E140000}"/>
    <cellStyle name="20% - Accent5 3 4 2 2 3" xfId="4831" xr:uid="{00000000-0005-0000-0000-00005F140000}"/>
    <cellStyle name="20% - Accent5 3 4 2 2 3 2" xfId="4832" xr:uid="{00000000-0005-0000-0000-000060140000}"/>
    <cellStyle name="20% - Accent5 3 4 2 2 3 3" xfId="22464" xr:uid="{00000000-0005-0000-0000-000061140000}"/>
    <cellStyle name="20% - Accent5 3 4 2 2 4" xfId="4833" xr:uid="{00000000-0005-0000-0000-000062140000}"/>
    <cellStyle name="20% - Accent5 3 4 2 2 5" xfId="19877" xr:uid="{00000000-0005-0000-0000-000063140000}"/>
    <cellStyle name="20% - Accent5 3 4 2 3" xfId="4834" xr:uid="{00000000-0005-0000-0000-000064140000}"/>
    <cellStyle name="20% - Accent5 3 4 2 3 2" xfId="4835" xr:uid="{00000000-0005-0000-0000-000065140000}"/>
    <cellStyle name="20% - Accent5 3 4 2 3 2 2" xfId="4836" xr:uid="{00000000-0005-0000-0000-000066140000}"/>
    <cellStyle name="20% - Accent5 3 4 2 3 2 3" xfId="23109" xr:uid="{00000000-0005-0000-0000-000067140000}"/>
    <cellStyle name="20% - Accent5 3 4 2 3 3" xfId="4837" xr:uid="{00000000-0005-0000-0000-000068140000}"/>
    <cellStyle name="20% - Accent5 3 4 2 3 4" xfId="20526" xr:uid="{00000000-0005-0000-0000-000069140000}"/>
    <cellStyle name="20% - Accent5 3 4 2 4" xfId="4838" xr:uid="{00000000-0005-0000-0000-00006A140000}"/>
    <cellStyle name="20% - Accent5 3 4 2 4 2" xfId="4839" xr:uid="{00000000-0005-0000-0000-00006B140000}"/>
    <cellStyle name="20% - Accent5 3 4 2 4 3" xfId="21819" xr:uid="{00000000-0005-0000-0000-00006C140000}"/>
    <cellStyle name="20% - Accent5 3 4 2 5" xfId="4840" xr:uid="{00000000-0005-0000-0000-00006D140000}"/>
    <cellStyle name="20% - Accent5 3 4 2 6" xfId="19229" xr:uid="{00000000-0005-0000-0000-00006E140000}"/>
    <cellStyle name="20% - Accent5 3 4 3" xfId="4841" xr:uid="{00000000-0005-0000-0000-00006F140000}"/>
    <cellStyle name="20% - Accent5 3 4 3 2" xfId="4842" xr:uid="{00000000-0005-0000-0000-000070140000}"/>
    <cellStyle name="20% - Accent5 3 4 3 2 2" xfId="4843" xr:uid="{00000000-0005-0000-0000-000071140000}"/>
    <cellStyle name="20% - Accent5 3 4 3 2 2 2" xfId="4844" xr:uid="{00000000-0005-0000-0000-000072140000}"/>
    <cellStyle name="20% - Accent5 3 4 3 2 2 3" xfId="23432" xr:uid="{00000000-0005-0000-0000-000073140000}"/>
    <cellStyle name="20% - Accent5 3 4 3 2 3" xfId="4845" xr:uid="{00000000-0005-0000-0000-000074140000}"/>
    <cellStyle name="20% - Accent5 3 4 3 2 4" xfId="20849" xr:uid="{00000000-0005-0000-0000-000075140000}"/>
    <cellStyle name="20% - Accent5 3 4 3 3" xfId="4846" xr:uid="{00000000-0005-0000-0000-000076140000}"/>
    <cellStyle name="20% - Accent5 3 4 3 3 2" xfId="4847" xr:uid="{00000000-0005-0000-0000-000077140000}"/>
    <cellStyle name="20% - Accent5 3 4 3 3 3" xfId="22142" xr:uid="{00000000-0005-0000-0000-000078140000}"/>
    <cellStyle name="20% - Accent5 3 4 3 4" xfId="4848" xr:uid="{00000000-0005-0000-0000-000079140000}"/>
    <cellStyle name="20% - Accent5 3 4 3 5" xfId="19555" xr:uid="{00000000-0005-0000-0000-00007A140000}"/>
    <cellStyle name="20% - Accent5 3 4 4" xfId="4849" xr:uid="{00000000-0005-0000-0000-00007B140000}"/>
    <cellStyle name="20% - Accent5 3 4 4 2" xfId="4850" xr:uid="{00000000-0005-0000-0000-00007C140000}"/>
    <cellStyle name="20% - Accent5 3 4 4 2 2" xfId="4851" xr:uid="{00000000-0005-0000-0000-00007D140000}"/>
    <cellStyle name="20% - Accent5 3 4 4 2 3" xfId="22787" xr:uid="{00000000-0005-0000-0000-00007E140000}"/>
    <cellStyle name="20% - Accent5 3 4 4 3" xfId="4852" xr:uid="{00000000-0005-0000-0000-00007F140000}"/>
    <cellStyle name="20% - Accent5 3 4 4 4" xfId="20204" xr:uid="{00000000-0005-0000-0000-000080140000}"/>
    <cellStyle name="20% - Accent5 3 4 5" xfId="4853" xr:uid="{00000000-0005-0000-0000-000081140000}"/>
    <cellStyle name="20% - Accent5 3 4 5 2" xfId="4854" xr:uid="{00000000-0005-0000-0000-000082140000}"/>
    <cellStyle name="20% - Accent5 3 4 5 3" xfId="21497" xr:uid="{00000000-0005-0000-0000-000083140000}"/>
    <cellStyle name="20% - Accent5 3 4 6" xfId="4855" xr:uid="{00000000-0005-0000-0000-000084140000}"/>
    <cellStyle name="20% - Accent5 3 4 7" xfId="18903" xr:uid="{00000000-0005-0000-0000-000085140000}"/>
    <cellStyle name="20% - Accent5 3 5" xfId="4856" xr:uid="{00000000-0005-0000-0000-000086140000}"/>
    <cellStyle name="20% - Accent5 3 5 2" xfId="4857" xr:uid="{00000000-0005-0000-0000-000087140000}"/>
    <cellStyle name="20% - Accent5 3 5 2 2" xfId="4858" xr:uid="{00000000-0005-0000-0000-000088140000}"/>
    <cellStyle name="20% - Accent5 3 5 2 2 2" xfId="4859" xr:uid="{00000000-0005-0000-0000-000089140000}"/>
    <cellStyle name="20% - Accent5 3 5 2 2 2 2" xfId="4860" xr:uid="{00000000-0005-0000-0000-00008A140000}"/>
    <cellStyle name="20% - Accent5 3 5 2 2 2 3" xfId="23593" xr:uid="{00000000-0005-0000-0000-00008B140000}"/>
    <cellStyle name="20% - Accent5 3 5 2 2 3" xfId="4861" xr:uid="{00000000-0005-0000-0000-00008C140000}"/>
    <cellStyle name="20% - Accent5 3 5 2 2 4" xfId="21010" xr:uid="{00000000-0005-0000-0000-00008D140000}"/>
    <cellStyle name="20% - Accent5 3 5 2 3" xfId="4862" xr:uid="{00000000-0005-0000-0000-00008E140000}"/>
    <cellStyle name="20% - Accent5 3 5 2 3 2" xfId="4863" xr:uid="{00000000-0005-0000-0000-00008F140000}"/>
    <cellStyle name="20% - Accent5 3 5 2 3 3" xfId="22303" xr:uid="{00000000-0005-0000-0000-000090140000}"/>
    <cellStyle name="20% - Accent5 3 5 2 4" xfId="4864" xr:uid="{00000000-0005-0000-0000-000091140000}"/>
    <cellStyle name="20% - Accent5 3 5 2 5" xfId="19716" xr:uid="{00000000-0005-0000-0000-000092140000}"/>
    <cellStyle name="20% - Accent5 3 5 3" xfId="4865" xr:uid="{00000000-0005-0000-0000-000093140000}"/>
    <cellStyle name="20% - Accent5 3 5 3 2" xfId="4866" xr:uid="{00000000-0005-0000-0000-000094140000}"/>
    <cellStyle name="20% - Accent5 3 5 3 2 2" xfId="4867" xr:uid="{00000000-0005-0000-0000-000095140000}"/>
    <cellStyle name="20% - Accent5 3 5 3 2 3" xfId="22948" xr:uid="{00000000-0005-0000-0000-000096140000}"/>
    <cellStyle name="20% - Accent5 3 5 3 3" xfId="4868" xr:uid="{00000000-0005-0000-0000-000097140000}"/>
    <cellStyle name="20% - Accent5 3 5 3 4" xfId="20365" xr:uid="{00000000-0005-0000-0000-000098140000}"/>
    <cellStyle name="20% - Accent5 3 5 4" xfId="4869" xr:uid="{00000000-0005-0000-0000-000099140000}"/>
    <cellStyle name="20% - Accent5 3 5 4 2" xfId="4870" xr:uid="{00000000-0005-0000-0000-00009A140000}"/>
    <cellStyle name="20% - Accent5 3 5 4 3" xfId="21658" xr:uid="{00000000-0005-0000-0000-00009B140000}"/>
    <cellStyle name="20% - Accent5 3 5 5" xfId="4871" xr:uid="{00000000-0005-0000-0000-00009C140000}"/>
    <cellStyle name="20% - Accent5 3 5 6" xfId="19068" xr:uid="{00000000-0005-0000-0000-00009D140000}"/>
    <cellStyle name="20% - Accent5 3 6" xfId="4872" xr:uid="{00000000-0005-0000-0000-00009E140000}"/>
    <cellStyle name="20% - Accent5 3 6 2" xfId="4873" xr:uid="{00000000-0005-0000-0000-00009F140000}"/>
    <cellStyle name="20% - Accent5 3 6 2 2" xfId="4874" xr:uid="{00000000-0005-0000-0000-0000A0140000}"/>
    <cellStyle name="20% - Accent5 3 6 2 2 2" xfId="4875" xr:uid="{00000000-0005-0000-0000-0000A1140000}"/>
    <cellStyle name="20% - Accent5 3 6 2 2 3" xfId="23270" xr:uid="{00000000-0005-0000-0000-0000A2140000}"/>
    <cellStyle name="20% - Accent5 3 6 2 3" xfId="4876" xr:uid="{00000000-0005-0000-0000-0000A3140000}"/>
    <cellStyle name="20% - Accent5 3 6 2 4" xfId="20687" xr:uid="{00000000-0005-0000-0000-0000A4140000}"/>
    <cellStyle name="20% - Accent5 3 6 3" xfId="4877" xr:uid="{00000000-0005-0000-0000-0000A5140000}"/>
    <cellStyle name="20% - Accent5 3 6 3 2" xfId="4878" xr:uid="{00000000-0005-0000-0000-0000A6140000}"/>
    <cellStyle name="20% - Accent5 3 6 3 3" xfId="21980" xr:uid="{00000000-0005-0000-0000-0000A7140000}"/>
    <cellStyle name="20% - Accent5 3 6 4" xfId="4879" xr:uid="{00000000-0005-0000-0000-0000A8140000}"/>
    <cellStyle name="20% - Accent5 3 6 5" xfId="19394" xr:uid="{00000000-0005-0000-0000-0000A9140000}"/>
    <cellStyle name="20% - Accent5 3 7" xfId="4880" xr:uid="{00000000-0005-0000-0000-0000AA140000}"/>
    <cellStyle name="20% - Accent5 3 7 2" xfId="4881" xr:uid="{00000000-0005-0000-0000-0000AB140000}"/>
    <cellStyle name="20% - Accent5 3 7 2 2" xfId="4882" xr:uid="{00000000-0005-0000-0000-0000AC140000}"/>
    <cellStyle name="20% - Accent5 3 7 2 3" xfId="22625" xr:uid="{00000000-0005-0000-0000-0000AD140000}"/>
    <cellStyle name="20% - Accent5 3 7 3" xfId="4883" xr:uid="{00000000-0005-0000-0000-0000AE140000}"/>
    <cellStyle name="20% - Accent5 3 7 4" xfId="20042" xr:uid="{00000000-0005-0000-0000-0000AF140000}"/>
    <cellStyle name="20% - Accent5 3 8" xfId="4884" xr:uid="{00000000-0005-0000-0000-0000B0140000}"/>
    <cellStyle name="20% - Accent5 3 8 2" xfId="4885" xr:uid="{00000000-0005-0000-0000-0000B1140000}"/>
    <cellStyle name="20% - Accent5 3 8 3" xfId="21335" xr:uid="{00000000-0005-0000-0000-0000B2140000}"/>
    <cellStyle name="20% - Accent5 3 9" xfId="4886" xr:uid="{00000000-0005-0000-0000-0000B3140000}"/>
    <cellStyle name="20% - Accent5 4" xfId="4887" xr:uid="{00000000-0005-0000-0000-0000B4140000}"/>
    <cellStyle name="20% - Accent5 4 2" xfId="4888" xr:uid="{00000000-0005-0000-0000-0000B5140000}"/>
    <cellStyle name="20% - Accent5 4 2 2" xfId="4889" xr:uid="{00000000-0005-0000-0000-0000B6140000}"/>
    <cellStyle name="20% - Accent5 4 2 2 2" xfId="4890" xr:uid="{00000000-0005-0000-0000-0000B7140000}"/>
    <cellStyle name="20% - Accent5 4 2 2 2 2" xfId="4891" xr:uid="{00000000-0005-0000-0000-0000B8140000}"/>
    <cellStyle name="20% - Accent5 4 2 2 2 2 2" xfId="4892" xr:uid="{00000000-0005-0000-0000-0000B9140000}"/>
    <cellStyle name="20% - Accent5 4 2 2 2 2 2 2" xfId="4893" xr:uid="{00000000-0005-0000-0000-0000BA140000}"/>
    <cellStyle name="20% - Accent5 4 2 2 2 2 2 2 2" xfId="4894" xr:uid="{00000000-0005-0000-0000-0000BB140000}"/>
    <cellStyle name="20% - Accent5 4 2 2 2 2 2 2 3" xfId="23854" xr:uid="{00000000-0005-0000-0000-0000BC140000}"/>
    <cellStyle name="20% - Accent5 4 2 2 2 2 2 3" xfId="4895" xr:uid="{00000000-0005-0000-0000-0000BD140000}"/>
    <cellStyle name="20% - Accent5 4 2 2 2 2 2 4" xfId="21271" xr:uid="{00000000-0005-0000-0000-0000BE140000}"/>
    <cellStyle name="20% - Accent5 4 2 2 2 2 3" xfId="4896" xr:uid="{00000000-0005-0000-0000-0000BF140000}"/>
    <cellStyle name="20% - Accent5 4 2 2 2 2 3 2" xfId="4897" xr:uid="{00000000-0005-0000-0000-0000C0140000}"/>
    <cellStyle name="20% - Accent5 4 2 2 2 2 3 3" xfId="22564" xr:uid="{00000000-0005-0000-0000-0000C1140000}"/>
    <cellStyle name="20% - Accent5 4 2 2 2 2 4" xfId="4898" xr:uid="{00000000-0005-0000-0000-0000C2140000}"/>
    <cellStyle name="20% - Accent5 4 2 2 2 2 5" xfId="19977" xr:uid="{00000000-0005-0000-0000-0000C3140000}"/>
    <cellStyle name="20% - Accent5 4 2 2 2 3" xfId="4899" xr:uid="{00000000-0005-0000-0000-0000C4140000}"/>
    <cellStyle name="20% - Accent5 4 2 2 2 3 2" xfId="4900" xr:uid="{00000000-0005-0000-0000-0000C5140000}"/>
    <cellStyle name="20% - Accent5 4 2 2 2 3 2 2" xfId="4901" xr:uid="{00000000-0005-0000-0000-0000C6140000}"/>
    <cellStyle name="20% - Accent5 4 2 2 2 3 2 3" xfId="23209" xr:uid="{00000000-0005-0000-0000-0000C7140000}"/>
    <cellStyle name="20% - Accent5 4 2 2 2 3 3" xfId="4902" xr:uid="{00000000-0005-0000-0000-0000C8140000}"/>
    <cellStyle name="20% - Accent5 4 2 2 2 3 4" xfId="20626" xr:uid="{00000000-0005-0000-0000-0000C9140000}"/>
    <cellStyle name="20% - Accent5 4 2 2 2 4" xfId="4903" xr:uid="{00000000-0005-0000-0000-0000CA140000}"/>
    <cellStyle name="20% - Accent5 4 2 2 2 4 2" xfId="4904" xr:uid="{00000000-0005-0000-0000-0000CB140000}"/>
    <cellStyle name="20% - Accent5 4 2 2 2 4 3" xfId="21919" xr:uid="{00000000-0005-0000-0000-0000CC140000}"/>
    <cellStyle name="20% - Accent5 4 2 2 2 5" xfId="4905" xr:uid="{00000000-0005-0000-0000-0000CD140000}"/>
    <cellStyle name="20% - Accent5 4 2 2 2 6" xfId="19329" xr:uid="{00000000-0005-0000-0000-0000CE140000}"/>
    <cellStyle name="20% - Accent5 4 2 2 3" xfId="4906" xr:uid="{00000000-0005-0000-0000-0000CF140000}"/>
    <cellStyle name="20% - Accent5 4 2 2 3 2" xfId="4907" xr:uid="{00000000-0005-0000-0000-0000D0140000}"/>
    <cellStyle name="20% - Accent5 4 2 2 3 2 2" xfId="4908" xr:uid="{00000000-0005-0000-0000-0000D1140000}"/>
    <cellStyle name="20% - Accent5 4 2 2 3 2 2 2" xfId="4909" xr:uid="{00000000-0005-0000-0000-0000D2140000}"/>
    <cellStyle name="20% - Accent5 4 2 2 3 2 2 3" xfId="23532" xr:uid="{00000000-0005-0000-0000-0000D3140000}"/>
    <cellStyle name="20% - Accent5 4 2 2 3 2 3" xfId="4910" xr:uid="{00000000-0005-0000-0000-0000D4140000}"/>
    <cellStyle name="20% - Accent5 4 2 2 3 2 4" xfId="20949" xr:uid="{00000000-0005-0000-0000-0000D5140000}"/>
    <cellStyle name="20% - Accent5 4 2 2 3 3" xfId="4911" xr:uid="{00000000-0005-0000-0000-0000D6140000}"/>
    <cellStyle name="20% - Accent5 4 2 2 3 3 2" xfId="4912" xr:uid="{00000000-0005-0000-0000-0000D7140000}"/>
    <cellStyle name="20% - Accent5 4 2 2 3 3 3" xfId="22242" xr:uid="{00000000-0005-0000-0000-0000D8140000}"/>
    <cellStyle name="20% - Accent5 4 2 2 3 4" xfId="4913" xr:uid="{00000000-0005-0000-0000-0000D9140000}"/>
    <cellStyle name="20% - Accent5 4 2 2 3 5" xfId="19655" xr:uid="{00000000-0005-0000-0000-0000DA140000}"/>
    <cellStyle name="20% - Accent5 4 2 2 4" xfId="4914" xr:uid="{00000000-0005-0000-0000-0000DB140000}"/>
    <cellStyle name="20% - Accent5 4 2 2 4 2" xfId="4915" xr:uid="{00000000-0005-0000-0000-0000DC140000}"/>
    <cellStyle name="20% - Accent5 4 2 2 4 2 2" xfId="4916" xr:uid="{00000000-0005-0000-0000-0000DD140000}"/>
    <cellStyle name="20% - Accent5 4 2 2 4 2 3" xfId="22887" xr:uid="{00000000-0005-0000-0000-0000DE140000}"/>
    <cellStyle name="20% - Accent5 4 2 2 4 3" xfId="4917" xr:uid="{00000000-0005-0000-0000-0000DF140000}"/>
    <cellStyle name="20% - Accent5 4 2 2 4 4" xfId="20304" xr:uid="{00000000-0005-0000-0000-0000E0140000}"/>
    <cellStyle name="20% - Accent5 4 2 2 5" xfId="4918" xr:uid="{00000000-0005-0000-0000-0000E1140000}"/>
    <cellStyle name="20% - Accent5 4 2 2 5 2" xfId="4919" xr:uid="{00000000-0005-0000-0000-0000E2140000}"/>
    <cellStyle name="20% - Accent5 4 2 2 5 3" xfId="21597" xr:uid="{00000000-0005-0000-0000-0000E3140000}"/>
    <cellStyle name="20% - Accent5 4 2 2 6" xfId="4920" xr:uid="{00000000-0005-0000-0000-0000E4140000}"/>
    <cellStyle name="20% - Accent5 4 2 2 7" xfId="19003" xr:uid="{00000000-0005-0000-0000-0000E5140000}"/>
    <cellStyle name="20% - Accent5 4 2 3" xfId="4921" xr:uid="{00000000-0005-0000-0000-0000E6140000}"/>
    <cellStyle name="20% - Accent5 4 2 3 2" xfId="4922" xr:uid="{00000000-0005-0000-0000-0000E7140000}"/>
    <cellStyle name="20% - Accent5 4 2 3 2 2" xfId="4923" xr:uid="{00000000-0005-0000-0000-0000E8140000}"/>
    <cellStyle name="20% - Accent5 4 2 3 2 2 2" xfId="4924" xr:uid="{00000000-0005-0000-0000-0000E9140000}"/>
    <cellStyle name="20% - Accent5 4 2 3 2 2 2 2" xfId="4925" xr:uid="{00000000-0005-0000-0000-0000EA140000}"/>
    <cellStyle name="20% - Accent5 4 2 3 2 2 2 3" xfId="23693" xr:uid="{00000000-0005-0000-0000-0000EB140000}"/>
    <cellStyle name="20% - Accent5 4 2 3 2 2 3" xfId="4926" xr:uid="{00000000-0005-0000-0000-0000EC140000}"/>
    <cellStyle name="20% - Accent5 4 2 3 2 2 4" xfId="21110" xr:uid="{00000000-0005-0000-0000-0000ED140000}"/>
    <cellStyle name="20% - Accent5 4 2 3 2 3" xfId="4927" xr:uid="{00000000-0005-0000-0000-0000EE140000}"/>
    <cellStyle name="20% - Accent5 4 2 3 2 3 2" xfId="4928" xr:uid="{00000000-0005-0000-0000-0000EF140000}"/>
    <cellStyle name="20% - Accent5 4 2 3 2 3 3" xfId="22403" xr:uid="{00000000-0005-0000-0000-0000F0140000}"/>
    <cellStyle name="20% - Accent5 4 2 3 2 4" xfId="4929" xr:uid="{00000000-0005-0000-0000-0000F1140000}"/>
    <cellStyle name="20% - Accent5 4 2 3 2 5" xfId="19816" xr:uid="{00000000-0005-0000-0000-0000F2140000}"/>
    <cellStyle name="20% - Accent5 4 2 3 3" xfId="4930" xr:uid="{00000000-0005-0000-0000-0000F3140000}"/>
    <cellStyle name="20% - Accent5 4 2 3 3 2" xfId="4931" xr:uid="{00000000-0005-0000-0000-0000F4140000}"/>
    <cellStyle name="20% - Accent5 4 2 3 3 2 2" xfId="4932" xr:uid="{00000000-0005-0000-0000-0000F5140000}"/>
    <cellStyle name="20% - Accent5 4 2 3 3 2 3" xfId="23048" xr:uid="{00000000-0005-0000-0000-0000F6140000}"/>
    <cellStyle name="20% - Accent5 4 2 3 3 3" xfId="4933" xr:uid="{00000000-0005-0000-0000-0000F7140000}"/>
    <cellStyle name="20% - Accent5 4 2 3 3 4" xfId="20465" xr:uid="{00000000-0005-0000-0000-0000F8140000}"/>
    <cellStyle name="20% - Accent5 4 2 3 4" xfId="4934" xr:uid="{00000000-0005-0000-0000-0000F9140000}"/>
    <cellStyle name="20% - Accent5 4 2 3 4 2" xfId="4935" xr:uid="{00000000-0005-0000-0000-0000FA140000}"/>
    <cellStyle name="20% - Accent5 4 2 3 4 3" xfId="21758" xr:uid="{00000000-0005-0000-0000-0000FB140000}"/>
    <cellStyle name="20% - Accent5 4 2 3 5" xfId="4936" xr:uid="{00000000-0005-0000-0000-0000FC140000}"/>
    <cellStyle name="20% - Accent5 4 2 3 6" xfId="19168" xr:uid="{00000000-0005-0000-0000-0000FD140000}"/>
    <cellStyle name="20% - Accent5 4 2 4" xfId="4937" xr:uid="{00000000-0005-0000-0000-0000FE140000}"/>
    <cellStyle name="20% - Accent5 4 2 4 2" xfId="4938" xr:uid="{00000000-0005-0000-0000-0000FF140000}"/>
    <cellStyle name="20% - Accent5 4 2 4 2 2" xfId="4939" xr:uid="{00000000-0005-0000-0000-000000150000}"/>
    <cellStyle name="20% - Accent5 4 2 4 2 2 2" xfId="4940" xr:uid="{00000000-0005-0000-0000-000001150000}"/>
    <cellStyle name="20% - Accent5 4 2 4 2 2 3" xfId="23371" xr:uid="{00000000-0005-0000-0000-000002150000}"/>
    <cellStyle name="20% - Accent5 4 2 4 2 3" xfId="4941" xr:uid="{00000000-0005-0000-0000-000003150000}"/>
    <cellStyle name="20% - Accent5 4 2 4 2 4" xfId="20788" xr:uid="{00000000-0005-0000-0000-000004150000}"/>
    <cellStyle name="20% - Accent5 4 2 4 3" xfId="4942" xr:uid="{00000000-0005-0000-0000-000005150000}"/>
    <cellStyle name="20% - Accent5 4 2 4 3 2" xfId="4943" xr:uid="{00000000-0005-0000-0000-000006150000}"/>
    <cellStyle name="20% - Accent5 4 2 4 3 3" xfId="22081" xr:uid="{00000000-0005-0000-0000-000007150000}"/>
    <cellStyle name="20% - Accent5 4 2 4 4" xfId="4944" xr:uid="{00000000-0005-0000-0000-000008150000}"/>
    <cellStyle name="20% - Accent5 4 2 4 5" xfId="19494" xr:uid="{00000000-0005-0000-0000-000009150000}"/>
    <cellStyle name="20% - Accent5 4 2 5" xfId="4945" xr:uid="{00000000-0005-0000-0000-00000A150000}"/>
    <cellStyle name="20% - Accent5 4 2 5 2" xfId="4946" xr:uid="{00000000-0005-0000-0000-00000B150000}"/>
    <cellStyle name="20% - Accent5 4 2 5 2 2" xfId="4947" xr:uid="{00000000-0005-0000-0000-00000C150000}"/>
    <cellStyle name="20% - Accent5 4 2 5 2 3" xfId="22726" xr:uid="{00000000-0005-0000-0000-00000D150000}"/>
    <cellStyle name="20% - Accent5 4 2 5 3" xfId="4948" xr:uid="{00000000-0005-0000-0000-00000E150000}"/>
    <cellStyle name="20% - Accent5 4 2 5 4" xfId="20143" xr:uid="{00000000-0005-0000-0000-00000F150000}"/>
    <cellStyle name="20% - Accent5 4 2 6" xfId="4949" xr:uid="{00000000-0005-0000-0000-000010150000}"/>
    <cellStyle name="20% - Accent5 4 2 6 2" xfId="4950" xr:uid="{00000000-0005-0000-0000-000011150000}"/>
    <cellStyle name="20% - Accent5 4 2 6 3" xfId="21436" xr:uid="{00000000-0005-0000-0000-000012150000}"/>
    <cellStyle name="20% - Accent5 4 2 7" xfId="4951" xr:uid="{00000000-0005-0000-0000-000013150000}"/>
    <cellStyle name="20% - Accent5 4 2 8" xfId="18837" xr:uid="{00000000-0005-0000-0000-000014150000}"/>
    <cellStyle name="20% - Accent5 4 3" xfId="4952" xr:uid="{00000000-0005-0000-0000-000015150000}"/>
    <cellStyle name="20% - Accent5 4 3 2" xfId="4953" xr:uid="{00000000-0005-0000-0000-000016150000}"/>
    <cellStyle name="20% - Accent5 4 3 2 2" xfId="4954" xr:uid="{00000000-0005-0000-0000-000017150000}"/>
    <cellStyle name="20% - Accent5 4 3 2 2 2" xfId="4955" xr:uid="{00000000-0005-0000-0000-000018150000}"/>
    <cellStyle name="20% - Accent5 4 3 2 2 2 2" xfId="4956" xr:uid="{00000000-0005-0000-0000-000019150000}"/>
    <cellStyle name="20% - Accent5 4 3 2 2 2 2 2" xfId="4957" xr:uid="{00000000-0005-0000-0000-00001A150000}"/>
    <cellStyle name="20% - Accent5 4 3 2 2 2 2 3" xfId="23774" xr:uid="{00000000-0005-0000-0000-00001B150000}"/>
    <cellStyle name="20% - Accent5 4 3 2 2 2 3" xfId="4958" xr:uid="{00000000-0005-0000-0000-00001C150000}"/>
    <cellStyle name="20% - Accent5 4 3 2 2 2 4" xfId="21191" xr:uid="{00000000-0005-0000-0000-00001D150000}"/>
    <cellStyle name="20% - Accent5 4 3 2 2 3" xfId="4959" xr:uid="{00000000-0005-0000-0000-00001E150000}"/>
    <cellStyle name="20% - Accent5 4 3 2 2 3 2" xfId="4960" xr:uid="{00000000-0005-0000-0000-00001F150000}"/>
    <cellStyle name="20% - Accent5 4 3 2 2 3 3" xfId="22484" xr:uid="{00000000-0005-0000-0000-000020150000}"/>
    <cellStyle name="20% - Accent5 4 3 2 2 4" xfId="4961" xr:uid="{00000000-0005-0000-0000-000021150000}"/>
    <cellStyle name="20% - Accent5 4 3 2 2 5" xfId="19897" xr:uid="{00000000-0005-0000-0000-000022150000}"/>
    <cellStyle name="20% - Accent5 4 3 2 3" xfId="4962" xr:uid="{00000000-0005-0000-0000-000023150000}"/>
    <cellStyle name="20% - Accent5 4 3 2 3 2" xfId="4963" xr:uid="{00000000-0005-0000-0000-000024150000}"/>
    <cellStyle name="20% - Accent5 4 3 2 3 2 2" xfId="4964" xr:uid="{00000000-0005-0000-0000-000025150000}"/>
    <cellStyle name="20% - Accent5 4 3 2 3 2 3" xfId="23129" xr:uid="{00000000-0005-0000-0000-000026150000}"/>
    <cellStyle name="20% - Accent5 4 3 2 3 3" xfId="4965" xr:uid="{00000000-0005-0000-0000-000027150000}"/>
    <cellStyle name="20% - Accent5 4 3 2 3 4" xfId="20546" xr:uid="{00000000-0005-0000-0000-000028150000}"/>
    <cellStyle name="20% - Accent5 4 3 2 4" xfId="4966" xr:uid="{00000000-0005-0000-0000-000029150000}"/>
    <cellStyle name="20% - Accent5 4 3 2 4 2" xfId="4967" xr:uid="{00000000-0005-0000-0000-00002A150000}"/>
    <cellStyle name="20% - Accent5 4 3 2 4 3" xfId="21839" xr:uid="{00000000-0005-0000-0000-00002B150000}"/>
    <cellStyle name="20% - Accent5 4 3 2 5" xfId="4968" xr:uid="{00000000-0005-0000-0000-00002C150000}"/>
    <cellStyle name="20% - Accent5 4 3 2 6" xfId="19249" xr:uid="{00000000-0005-0000-0000-00002D150000}"/>
    <cellStyle name="20% - Accent5 4 3 3" xfId="4969" xr:uid="{00000000-0005-0000-0000-00002E150000}"/>
    <cellStyle name="20% - Accent5 4 3 3 2" xfId="4970" xr:uid="{00000000-0005-0000-0000-00002F150000}"/>
    <cellStyle name="20% - Accent5 4 3 3 2 2" xfId="4971" xr:uid="{00000000-0005-0000-0000-000030150000}"/>
    <cellStyle name="20% - Accent5 4 3 3 2 2 2" xfId="4972" xr:uid="{00000000-0005-0000-0000-000031150000}"/>
    <cellStyle name="20% - Accent5 4 3 3 2 2 3" xfId="23452" xr:uid="{00000000-0005-0000-0000-000032150000}"/>
    <cellStyle name="20% - Accent5 4 3 3 2 3" xfId="4973" xr:uid="{00000000-0005-0000-0000-000033150000}"/>
    <cellStyle name="20% - Accent5 4 3 3 2 4" xfId="20869" xr:uid="{00000000-0005-0000-0000-000034150000}"/>
    <cellStyle name="20% - Accent5 4 3 3 3" xfId="4974" xr:uid="{00000000-0005-0000-0000-000035150000}"/>
    <cellStyle name="20% - Accent5 4 3 3 3 2" xfId="4975" xr:uid="{00000000-0005-0000-0000-000036150000}"/>
    <cellStyle name="20% - Accent5 4 3 3 3 3" xfId="22162" xr:uid="{00000000-0005-0000-0000-000037150000}"/>
    <cellStyle name="20% - Accent5 4 3 3 4" xfId="4976" xr:uid="{00000000-0005-0000-0000-000038150000}"/>
    <cellStyle name="20% - Accent5 4 3 3 5" xfId="19575" xr:uid="{00000000-0005-0000-0000-000039150000}"/>
    <cellStyle name="20% - Accent5 4 3 4" xfId="4977" xr:uid="{00000000-0005-0000-0000-00003A150000}"/>
    <cellStyle name="20% - Accent5 4 3 4 2" xfId="4978" xr:uid="{00000000-0005-0000-0000-00003B150000}"/>
    <cellStyle name="20% - Accent5 4 3 4 2 2" xfId="4979" xr:uid="{00000000-0005-0000-0000-00003C150000}"/>
    <cellStyle name="20% - Accent5 4 3 4 2 3" xfId="22807" xr:uid="{00000000-0005-0000-0000-00003D150000}"/>
    <cellStyle name="20% - Accent5 4 3 4 3" xfId="4980" xr:uid="{00000000-0005-0000-0000-00003E150000}"/>
    <cellStyle name="20% - Accent5 4 3 4 4" xfId="20224" xr:uid="{00000000-0005-0000-0000-00003F150000}"/>
    <cellStyle name="20% - Accent5 4 3 5" xfId="4981" xr:uid="{00000000-0005-0000-0000-000040150000}"/>
    <cellStyle name="20% - Accent5 4 3 5 2" xfId="4982" xr:uid="{00000000-0005-0000-0000-000041150000}"/>
    <cellStyle name="20% - Accent5 4 3 5 3" xfId="21517" xr:uid="{00000000-0005-0000-0000-000042150000}"/>
    <cellStyle name="20% - Accent5 4 3 6" xfId="4983" xr:uid="{00000000-0005-0000-0000-000043150000}"/>
    <cellStyle name="20% - Accent5 4 3 7" xfId="18923" xr:uid="{00000000-0005-0000-0000-000044150000}"/>
    <cellStyle name="20% - Accent5 4 4" xfId="4984" xr:uid="{00000000-0005-0000-0000-000045150000}"/>
    <cellStyle name="20% - Accent5 4 4 2" xfId="4985" xr:uid="{00000000-0005-0000-0000-000046150000}"/>
    <cellStyle name="20% - Accent5 4 4 2 2" xfId="4986" xr:uid="{00000000-0005-0000-0000-000047150000}"/>
    <cellStyle name="20% - Accent5 4 4 2 2 2" xfId="4987" xr:uid="{00000000-0005-0000-0000-000048150000}"/>
    <cellStyle name="20% - Accent5 4 4 2 2 2 2" xfId="4988" xr:uid="{00000000-0005-0000-0000-000049150000}"/>
    <cellStyle name="20% - Accent5 4 4 2 2 2 3" xfId="23613" xr:uid="{00000000-0005-0000-0000-00004A150000}"/>
    <cellStyle name="20% - Accent5 4 4 2 2 3" xfId="4989" xr:uid="{00000000-0005-0000-0000-00004B150000}"/>
    <cellStyle name="20% - Accent5 4 4 2 2 4" xfId="21030" xr:uid="{00000000-0005-0000-0000-00004C150000}"/>
    <cellStyle name="20% - Accent5 4 4 2 3" xfId="4990" xr:uid="{00000000-0005-0000-0000-00004D150000}"/>
    <cellStyle name="20% - Accent5 4 4 2 3 2" xfId="4991" xr:uid="{00000000-0005-0000-0000-00004E150000}"/>
    <cellStyle name="20% - Accent5 4 4 2 3 3" xfId="22323" xr:uid="{00000000-0005-0000-0000-00004F150000}"/>
    <cellStyle name="20% - Accent5 4 4 2 4" xfId="4992" xr:uid="{00000000-0005-0000-0000-000050150000}"/>
    <cellStyle name="20% - Accent5 4 4 2 5" xfId="19736" xr:uid="{00000000-0005-0000-0000-000051150000}"/>
    <cellStyle name="20% - Accent5 4 4 3" xfId="4993" xr:uid="{00000000-0005-0000-0000-000052150000}"/>
    <cellStyle name="20% - Accent5 4 4 3 2" xfId="4994" xr:uid="{00000000-0005-0000-0000-000053150000}"/>
    <cellStyle name="20% - Accent5 4 4 3 2 2" xfId="4995" xr:uid="{00000000-0005-0000-0000-000054150000}"/>
    <cellStyle name="20% - Accent5 4 4 3 2 3" xfId="22968" xr:uid="{00000000-0005-0000-0000-000055150000}"/>
    <cellStyle name="20% - Accent5 4 4 3 3" xfId="4996" xr:uid="{00000000-0005-0000-0000-000056150000}"/>
    <cellStyle name="20% - Accent5 4 4 3 4" xfId="20385" xr:uid="{00000000-0005-0000-0000-000057150000}"/>
    <cellStyle name="20% - Accent5 4 4 4" xfId="4997" xr:uid="{00000000-0005-0000-0000-000058150000}"/>
    <cellStyle name="20% - Accent5 4 4 4 2" xfId="4998" xr:uid="{00000000-0005-0000-0000-000059150000}"/>
    <cellStyle name="20% - Accent5 4 4 4 3" xfId="21678" xr:uid="{00000000-0005-0000-0000-00005A150000}"/>
    <cellStyle name="20% - Accent5 4 4 5" xfId="4999" xr:uid="{00000000-0005-0000-0000-00005B150000}"/>
    <cellStyle name="20% - Accent5 4 4 6" xfId="19088" xr:uid="{00000000-0005-0000-0000-00005C150000}"/>
    <cellStyle name="20% - Accent5 4 5" xfId="5000" xr:uid="{00000000-0005-0000-0000-00005D150000}"/>
    <cellStyle name="20% - Accent5 4 5 2" xfId="5001" xr:uid="{00000000-0005-0000-0000-00005E150000}"/>
    <cellStyle name="20% - Accent5 4 5 2 2" xfId="5002" xr:uid="{00000000-0005-0000-0000-00005F150000}"/>
    <cellStyle name="20% - Accent5 4 5 2 2 2" xfId="5003" xr:uid="{00000000-0005-0000-0000-000060150000}"/>
    <cellStyle name="20% - Accent5 4 5 2 2 3" xfId="23290" xr:uid="{00000000-0005-0000-0000-000061150000}"/>
    <cellStyle name="20% - Accent5 4 5 2 3" xfId="5004" xr:uid="{00000000-0005-0000-0000-000062150000}"/>
    <cellStyle name="20% - Accent5 4 5 2 4" xfId="20707" xr:uid="{00000000-0005-0000-0000-000063150000}"/>
    <cellStyle name="20% - Accent5 4 5 3" xfId="5005" xr:uid="{00000000-0005-0000-0000-000064150000}"/>
    <cellStyle name="20% - Accent5 4 5 3 2" xfId="5006" xr:uid="{00000000-0005-0000-0000-000065150000}"/>
    <cellStyle name="20% - Accent5 4 5 3 3" xfId="22000" xr:uid="{00000000-0005-0000-0000-000066150000}"/>
    <cellStyle name="20% - Accent5 4 5 4" xfId="5007" xr:uid="{00000000-0005-0000-0000-000067150000}"/>
    <cellStyle name="20% - Accent5 4 5 5" xfId="19414" xr:uid="{00000000-0005-0000-0000-000068150000}"/>
    <cellStyle name="20% - Accent5 4 6" xfId="5008" xr:uid="{00000000-0005-0000-0000-000069150000}"/>
    <cellStyle name="20% - Accent5 4 6 2" xfId="5009" xr:uid="{00000000-0005-0000-0000-00006A150000}"/>
    <cellStyle name="20% - Accent5 4 6 2 2" xfId="5010" xr:uid="{00000000-0005-0000-0000-00006B150000}"/>
    <cellStyle name="20% - Accent5 4 6 2 3" xfId="22645" xr:uid="{00000000-0005-0000-0000-00006C150000}"/>
    <cellStyle name="20% - Accent5 4 6 3" xfId="5011" xr:uid="{00000000-0005-0000-0000-00006D150000}"/>
    <cellStyle name="20% - Accent5 4 6 4" xfId="20062" xr:uid="{00000000-0005-0000-0000-00006E150000}"/>
    <cellStyle name="20% - Accent5 4 7" xfId="5012" xr:uid="{00000000-0005-0000-0000-00006F150000}"/>
    <cellStyle name="20% - Accent5 4 7 2" xfId="5013" xr:uid="{00000000-0005-0000-0000-000070150000}"/>
    <cellStyle name="20% - Accent5 4 7 3" xfId="21355" xr:uid="{00000000-0005-0000-0000-000071150000}"/>
    <cellStyle name="20% - Accent5 4 8" xfId="5014" xr:uid="{00000000-0005-0000-0000-000072150000}"/>
    <cellStyle name="20% - Accent5 4 9" xfId="18737" xr:uid="{00000000-0005-0000-0000-000073150000}"/>
    <cellStyle name="20% - Accent5 5" xfId="5015" xr:uid="{00000000-0005-0000-0000-000074150000}"/>
    <cellStyle name="20% - Accent5 5 2" xfId="5016" xr:uid="{00000000-0005-0000-0000-000075150000}"/>
    <cellStyle name="20% - Accent5 5 2 2" xfId="5017" xr:uid="{00000000-0005-0000-0000-000076150000}"/>
    <cellStyle name="20% - Accent5 5 2 2 2" xfId="5018" xr:uid="{00000000-0005-0000-0000-000077150000}"/>
    <cellStyle name="20% - Accent5 5 2 2 2 2" xfId="5019" xr:uid="{00000000-0005-0000-0000-000078150000}"/>
    <cellStyle name="20% - Accent5 5 2 2 2 2 2" xfId="5020" xr:uid="{00000000-0005-0000-0000-000079150000}"/>
    <cellStyle name="20% - Accent5 5 2 2 2 2 2 2" xfId="5021" xr:uid="{00000000-0005-0000-0000-00007A150000}"/>
    <cellStyle name="20% - Accent5 5 2 2 2 2 2 3" xfId="23814" xr:uid="{00000000-0005-0000-0000-00007B150000}"/>
    <cellStyle name="20% - Accent5 5 2 2 2 2 3" xfId="5022" xr:uid="{00000000-0005-0000-0000-00007C150000}"/>
    <cellStyle name="20% - Accent5 5 2 2 2 2 4" xfId="21231" xr:uid="{00000000-0005-0000-0000-00007D150000}"/>
    <cellStyle name="20% - Accent5 5 2 2 2 3" xfId="5023" xr:uid="{00000000-0005-0000-0000-00007E150000}"/>
    <cellStyle name="20% - Accent5 5 2 2 2 3 2" xfId="5024" xr:uid="{00000000-0005-0000-0000-00007F150000}"/>
    <cellStyle name="20% - Accent5 5 2 2 2 3 3" xfId="22524" xr:uid="{00000000-0005-0000-0000-000080150000}"/>
    <cellStyle name="20% - Accent5 5 2 2 2 4" xfId="5025" xr:uid="{00000000-0005-0000-0000-000081150000}"/>
    <cellStyle name="20% - Accent5 5 2 2 2 5" xfId="19937" xr:uid="{00000000-0005-0000-0000-000082150000}"/>
    <cellStyle name="20% - Accent5 5 2 2 3" xfId="5026" xr:uid="{00000000-0005-0000-0000-000083150000}"/>
    <cellStyle name="20% - Accent5 5 2 2 3 2" xfId="5027" xr:uid="{00000000-0005-0000-0000-000084150000}"/>
    <cellStyle name="20% - Accent5 5 2 2 3 2 2" xfId="5028" xr:uid="{00000000-0005-0000-0000-000085150000}"/>
    <cellStyle name="20% - Accent5 5 2 2 3 2 3" xfId="23169" xr:uid="{00000000-0005-0000-0000-000086150000}"/>
    <cellStyle name="20% - Accent5 5 2 2 3 3" xfId="5029" xr:uid="{00000000-0005-0000-0000-000087150000}"/>
    <cellStyle name="20% - Accent5 5 2 2 3 4" xfId="20586" xr:uid="{00000000-0005-0000-0000-000088150000}"/>
    <cellStyle name="20% - Accent5 5 2 2 4" xfId="5030" xr:uid="{00000000-0005-0000-0000-000089150000}"/>
    <cellStyle name="20% - Accent5 5 2 2 4 2" xfId="5031" xr:uid="{00000000-0005-0000-0000-00008A150000}"/>
    <cellStyle name="20% - Accent5 5 2 2 4 3" xfId="21879" xr:uid="{00000000-0005-0000-0000-00008B150000}"/>
    <cellStyle name="20% - Accent5 5 2 2 5" xfId="5032" xr:uid="{00000000-0005-0000-0000-00008C150000}"/>
    <cellStyle name="20% - Accent5 5 2 2 6" xfId="19289" xr:uid="{00000000-0005-0000-0000-00008D150000}"/>
    <cellStyle name="20% - Accent5 5 2 3" xfId="5033" xr:uid="{00000000-0005-0000-0000-00008E150000}"/>
    <cellStyle name="20% - Accent5 5 2 3 2" xfId="5034" xr:uid="{00000000-0005-0000-0000-00008F150000}"/>
    <cellStyle name="20% - Accent5 5 2 3 2 2" xfId="5035" xr:uid="{00000000-0005-0000-0000-000090150000}"/>
    <cellStyle name="20% - Accent5 5 2 3 2 2 2" xfId="5036" xr:uid="{00000000-0005-0000-0000-000091150000}"/>
    <cellStyle name="20% - Accent5 5 2 3 2 2 3" xfId="23492" xr:uid="{00000000-0005-0000-0000-000092150000}"/>
    <cellStyle name="20% - Accent5 5 2 3 2 3" xfId="5037" xr:uid="{00000000-0005-0000-0000-000093150000}"/>
    <cellStyle name="20% - Accent5 5 2 3 2 4" xfId="20909" xr:uid="{00000000-0005-0000-0000-000094150000}"/>
    <cellStyle name="20% - Accent5 5 2 3 3" xfId="5038" xr:uid="{00000000-0005-0000-0000-000095150000}"/>
    <cellStyle name="20% - Accent5 5 2 3 3 2" xfId="5039" xr:uid="{00000000-0005-0000-0000-000096150000}"/>
    <cellStyle name="20% - Accent5 5 2 3 3 3" xfId="22202" xr:uid="{00000000-0005-0000-0000-000097150000}"/>
    <cellStyle name="20% - Accent5 5 2 3 4" xfId="5040" xr:uid="{00000000-0005-0000-0000-000098150000}"/>
    <cellStyle name="20% - Accent5 5 2 3 5" xfId="19615" xr:uid="{00000000-0005-0000-0000-000099150000}"/>
    <cellStyle name="20% - Accent5 5 2 4" xfId="5041" xr:uid="{00000000-0005-0000-0000-00009A150000}"/>
    <cellStyle name="20% - Accent5 5 2 4 2" xfId="5042" xr:uid="{00000000-0005-0000-0000-00009B150000}"/>
    <cellStyle name="20% - Accent5 5 2 4 2 2" xfId="5043" xr:uid="{00000000-0005-0000-0000-00009C150000}"/>
    <cellStyle name="20% - Accent5 5 2 4 2 3" xfId="22847" xr:uid="{00000000-0005-0000-0000-00009D150000}"/>
    <cellStyle name="20% - Accent5 5 2 4 3" xfId="5044" xr:uid="{00000000-0005-0000-0000-00009E150000}"/>
    <cellStyle name="20% - Accent5 5 2 4 4" xfId="20264" xr:uid="{00000000-0005-0000-0000-00009F150000}"/>
    <cellStyle name="20% - Accent5 5 2 5" xfId="5045" xr:uid="{00000000-0005-0000-0000-0000A0150000}"/>
    <cellStyle name="20% - Accent5 5 2 5 2" xfId="5046" xr:uid="{00000000-0005-0000-0000-0000A1150000}"/>
    <cellStyle name="20% - Accent5 5 2 5 3" xfId="21557" xr:uid="{00000000-0005-0000-0000-0000A2150000}"/>
    <cellStyle name="20% - Accent5 5 2 6" xfId="5047" xr:uid="{00000000-0005-0000-0000-0000A3150000}"/>
    <cellStyle name="20% - Accent5 5 2 7" xfId="18963" xr:uid="{00000000-0005-0000-0000-0000A4150000}"/>
    <cellStyle name="20% - Accent5 5 3" xfId="5048" xr:uid="{00000000-0005-0000-0000-0000A5150000}"/>
    <cellStyle name="20% - Accent5 5 3 2" xfId="5049" xr:uid="{00000000-0005-0000-0000-0000A6150000}"/>
    <cellStyle name="20% - Accent5 5 3 2 2" xfId="5050" xr:uid="{00000000-0005-0000-0000-0000A7150000}"/>
    <cellStyle name="20% - Accent5 5 3 2 2 2" xfId="5051" xr:uid="{00000000-0005-0000-0000-0000A8150000}"/>
    <cellStyle name="20% - Accent5 5 3 2 2 2 2" xfId="5052" xr:uid="{00000000-0005-0000-0000-0000A9150000}"/>
    <cellStyle name="20% - Accent5 5 3 2 2 2 3" xfId="23653" xr:uid="{00000000-0005-0000-0000-0000AA150000}"/>
    <cellStyle name="20% - Accent5 5 3 2 2 3" xfId="5053" xr:uid="{00000000-0005-0000-0000-0000AB150000}"/>
    <cellStyle name="20% - Accent5 5 3 2 2 4" xfId="21070" xr:uid="{00000000-0005-0000-0000-0000AC150000}"/>
    <cellStyle name="20% - Accent5 5 3 2 3" xfId="5054" xr:uid="{00000000-0005-0000-0000-0000AD150000}"/>
    <cellStyle name="20% - Accent5 5 3 2 3 2" xfId="5055" xr:uid="{00000000-0005-0000-0000-0000AE150000}"/>
    <cellStyle name="20% - Accent5 5 3 2 3 3" xfId="22363" xr:uid="{00000000-0005-0000-0000-0000AF150000}"/>
    <cellStyle name="20% - Accent5 5 3 2 4" xfId="5056" xr:uid="{00000000-0005-0000-0000-0000B0150000}"/>
    <cellStyle name="20% - Accent5 5 3 2 5" xfId="19776" xr:uid="{00000000-0005-0000-0000-0000B1150000}"/>
    <cellStyle name="20% - Accent5 5 3 3" xfId="5057" xr:uid="{00000000-0005-0000-0000-0000B2150000}"/>
    <cellStyle name="20% - Accent5 5 3 3 2" xfId="5058" xr:uid="{00000000-0005-0000-0000-0000B3150000}"/>
    <cellStyle name="20% - Accent5 5 3 3 2 2" xfId="5059" xr:uid="{00000000-0005-0000-0000-0000B4150000}"/>
    <cellStyle name="20% - Accent5 5 3 3 2 3" xfId="23008" xr:uid="{00000000-0005-0000-0000-0000B5150000}"/>
    <cellStyle name="20% - Accent5 5 3 3 3" xfId="5060" xr:uid="{00000000-0005-0000-0000-0000B6150000}"/>
    <cellStyle name="20% - Accent5 5 3 3 4" xfId="20425" xr:uid="{00000000-0005-0000-0000-0000B7150000}"/>
    <cellStyle name="20% - Accent5 5 3 4" xfId="5061" xr:uid="{00000000-0005-0000-0000-0000B8150000}"/>
    <cellStyle name="20% - Accent5 5 3 4 2" xfId="5062" xr:uid="{00000000-0005-0000-0000-0000B9150000}"/>
    <cellStyle name="20% - Accent5 5 3 4 3" xfId="21718" xr:uid="{00000000-0005-0000-0000-0000BA150000}"/>
    <cellStyle name="20% - Accent5 5 3 5" xfId="5063" xr:uid="{00000000-0005-0000-0000-0000BB150000}"/>
    <cellStyle name="20% - Accent5 5 3 6" xfId="19128" xr:uid="{00000000-0005-0000-0000-0000BC150000}"/>
    <cellStyle name="20% - Accent5 5 4" xfId="5064" xr:uid="{00000000-0005-0000-0000-0000BD150000}"/>
    <cellStyle name="20% - Accent5 5 4 2" xfId="5065" xr:uid="{00000000-0005-0000-0000-0000BE150000}"/>
    <cellStyle name="20% - Accent5 5 4 2 2" xfId="5066" xr:uid="{00000000-0005-0000-0000-0000BF150000}"/>
    <cellStyle name="20% - Accent5 5 4 2 2 2" xfId="5067" xr:uid="{00000000-0005-0000-0000-0000C0150000}"/>
    <cellStyle name="20% - Accent5 5 4 2 2 3" xfId="23331" xr:uid="{00000000-0005-0000-0000-0000C1150000}"/>
    <cellStyle name="20% - Accent5 5 4 2 3" xfId="5068" xr:uid="{00000000-0005-0000-0000-0000C2150000}"/>
    <cellStyle name="20% - Accent5 5 4 2 4" xfId="20748" xr:uid="{00000000-0005-0000-0000-0000C3150000}"/>
    <cellStyle name="20% - Accent5 5 4 3" xfId="5069" xr:uid="{00000000-0005-0000-0000-0000C4150000}"/>
    <cellStyle name="20% - Accent5 5 4 3 2" xfId="5070" xr:uid="{00000000-0005-0000-0000-0000C5150000}"/>
    <cellStyle name="20% - Accent5 5 4 3 3" xfId="22041" xr:uid="{00000000-0005-0000-0000-0000C6150000}"/>
    <cellStyle name="20% - Accent5 5 4 4" xfId="5071" xr:uid="{00000000-0005-0000-0000-0000C7150000}"/>
    <cellStyle name="20% - Accent5 5 4 5" xfId="19454" xr:uid="{00000000-0005-0000-0000-0000C8150000}"/>
    <cellStyle name="20% - Accent5 5 5" xfId="5072" xr:uid="{00000000-0005-0000-0000-0000C9150000}"/>
    <cellStyle name="20% - Accent5 5 5 2" xfId="5073" xr:uid="{00000000-0005-0000-0000-0000CA150000}"/>
    <cellStyle name="20% - Accent5 5 5 2 2" xfId="5074" xr:uid="{00000000-0005-0000-0000-0000CB150000}"/>
    <cellStyle name="20% - Accent5 5 5 2 3" xfId="22686" xr:uid="{00000000-0005-0000-0000-0000CC150000}"/>
    <cellStyle name="20% - Accent5 5 5 3" xfId="5075" xr:uid="{00000000-0005-0000-0000-0000CD150000}"/>
    <cellStyle name="20% - Accent5 5 5 4" xfId="20103" xr:uid="{00000000-0005-0000-0000-0000CE150000}"/>
    <cellStyle name="20% - Accent5 5 6" xfId="5076" xr:uid="{00000000-0005-0000-0000-0000CF150000}"/>
    <cellStyle name="20% - Accent5 5 6 2" xfId="5077" xr:uid="{00000000-0005-0000-0000-0000D0150000}"/>
    <cellStyle name="20% - Accent5 5 6 3" xfId="21396" xr:uid="{00000000-0005-0000-0000-0000D1150000}"/>
    <cellStyle name="20% - Accent5 5 7" xfId="5078" xr:uid="{00000000-0005-0000-0000-0000D2150000}"/>
    <cellStyle name="20% - Accent5 5 8" xfId="18790" xr:uid="{00000000-0005-0000-0000-0000D3150000}"/>
    <cellStyle name="20% - Accent5 6" xfId="5079" xr:uid="{00000000-0005-0000-0000-0000D4150000}"/>
    <cellStyle name="20% - Accent5 6 2" xfId="5080" xr:uid="{00000000-0005-0000-0000-0000D5150000}"/>
    <cellStyle name="20% - Accent5 6 2 2" xfId="5081" xr:uid="{00000000-0005-0000-0000-0000D6150000}"/>
    <cellStyle name="20% - Accent5 6 2 2 2" xfId="5082" xr:uid="{00000000-0005-0000-0000-0000D7150000}"/>
    <cellStyle name="20% - Accent5 6 2 2 2 2" xfId="5083" xr:uid="{00000000-0005-0000-0000-0000D8150000}"/>
    <cellStyle name="20% - Accent5 6 2 2 2 2 2" xfId="5084" xr:uid="{00000000-0005-0000-0000-0000D9150000}"/>
    <cellStyle name="20% - Accent5 6 2 2 2 2 3" xfId="23734" xr:uid="{00000000-0005-0000-0000-0000DA150000}"/>
    <cellStyle name="20% - Accent5 6 2 2 2 3" xfId="5085" xr:uid="{00000000-0005-0000-0000-0000DB150000}"/>
    <cellStyle name="20% - Accent5 6 2 2 2 4" xfId="21151" xr:uid="{00000000-0005-0000-0000-0000DC150000}"/>
    <cellStyle name="20% - Accent5 6 2 2 3" xfId="5086" xr:uid="{00000000-0005-0000-0000-0000DD150000}"/>
    <cellStyle name="20% - Accent5 6 2 2 3 2" xfId="5087" xr:uid="{00000000-0005-0000-0000-0000DE150000}"/>
    <cellStyle name="20% - Accent5 6 2 2 3 3" xfId="22444" xr:uid="{00000000-0005-0000-0000-0000DF150000}"/>
    <cellStyle name="20% - Accent5 6 2 2 4" xfId="5088" xr:uid="{00000000-0005-0000-0000-0000E0150000}"/>
    <cellStyle name="20% - Accent5 6 2 2 5" xfId="19857" xr:uid="{00000000-0005-0000-0000-0000E1150000}"/>
    <cellStyle name="20% - Accent5 6 2 3" xfId="5089" xr:uid="{00000000-0005-0000-0000-0000E2150000}"/>
    <cellStyle name="20% - Accent5 6 2 3 2" xfId="5090" xr:uid="{00000000-0005-0000-0000-0000E3150000}"/>
    <cellStyle name="20% - Accent5 6 2 3 2 2" xfId="5091" xr:uid="{00000000-0005-0000-0000-0000E4150000}"/>
    <cellStyle name="20% - Accent5 6 2 3 2 3" xfId="23089" xr:uid="{00000000-0005-0000-0000-0000E5150000}"/>
    <cellStyle name="20% - Accent5 6 2 3 3" xfId="5092" xr:uid="{00000000-0005-0000-0000-0000E6150000}"/>
    <cellStyle name="20% - Accent5 6 2 3 4" xfId="20506" xr:uid="{00000000-0005-0000-0000-0000E7150000}"/>
    <cellStyle name="20% - Accent5 6 2 4" xfId="5093" xr:uid="{00000000-0005-0000-0000-0000E8150000}"/>
    <cellStyle name="20% - Accent5 6 2 4 2" xfId="5094" xr:uid="{00000000-0005-0000-0000-0000E9150000}"/>
    <cellStyle name="20% - Accent5 6 2 4 3" xfId="21799" xr:uid="{00000000-0005-0000-0000-0000EA150000}"/>
    <cellStyle name="20% - Accent5 6 2 5" xfId="5095" xr:uid="{00000000-0005-0000-0000-0000EB150000}"/>
    <cellStyle name="20% - Accent5 6 2 6" xfId="19209" xr:uid="{00000000-0005-0000-0000-0000EC150000}"/>
    <cellStyle name="20% - Accent5 6 3" xfId="5096" xr:uid="{00000000-0005-0000-0000-0000ED150000}"/>
    <cellStyle name="20% - Accent5 6 3 2" xfId="5097" xr:uid="{00000000-0005-0000-0000-0000EE150000}"/>
    <cellStyle name="20% - Accent5 6 3 2 2" xfId="5098" xr:uid="{00000000-0005-0000-0000-0000EF150000}"/>
    <cellStyle name="20% - Accent5 6 3 2 2 2" xfId="5099" xr:uid="{00000000-0005-0000-0000-0000F0150000}"/>
    <cellStyle name="20% - Accent5 6 3 2 2 3" xfId="23412" xr:uid="{00000000-0005-0000-0000-0000F1150000}"/>
    <cellStyle name="20% - Accent5 6 3 2 3" xfId="5100" xr:uid="{00000000-0005-0000-0000-0000F2150000}"/>
    <cellStyle name="20% - Accent5 6 3 2 4" xfId="20829" xr:uid="{00000000-0005-0000-0000-0000F3150000}"/>
    <cellStyle name="20% - Accent5 6 3 3" xfId="5101" xr:uid="{00000000-0005-0000-0000-0000F4150000}"/>
    <cellStyle name="20% - Accent5 6 3 3 2" xfId="5102" xr:uid="{00000000-0005-0000-0000-0000F5150000}"/>
    <cellStyle name="20% - Accent5 6 3 3 3" xfId="22122" xr:uid="{00000000-0005-0000-0000-0000F6150000}"/>
    <cellStyle name="20% - Accent5 6 3 4" xfId="5103" xr:uid="{00000000-0005-0000-0000-0000F7150000}"/>
    <cellStyle name="20% - Accent5 6 3 5" xfId="19535" xr:uid="{00000000-0005-0000-0000-0000F8150000}"/>
    <cellStyle name="20% - Accent5 6 4" xfId="5104" xr:uid="{00000000-0005-0000-0000-0000F9150000}"/>
    <cellStyle name="20% - Accent5 6 4 2" xfId="5105" xr:uid="{00000000-0005-0000-0000-0000FA150000}"/>
    <cellStyle name="20% - Accent5 6 4 2 2" xfId="5106" xr:uid="{00000000-0005-0000-0000-0000FB150000}"/>
    <cellStyle name="20% - Accent5 6 4 2 3" xfId="22767" xr:uid="{00000000-0005-0000-0000-0000FC150000}"/>
    <cellStyle name="20% - Accent5 6 4 3" xfId="5107" xr:uid="{00000000-0005-0000-0000-0000FD150000}"/>
    <cellStyle name="20% - Accent5 6 4 4" xfId="20184" xr:uid="{00000000-0005-0000-0000-0000FE150000}"/>
    <cellStyle name="20% - Accent5 6 5" xfId="5108" xr:uid="{00000000-0005-0000-0000-0000FF150000}"/>
    <cellStyle name="20% - Accent5 6 5 2" xfId="5109" xr:uid="{00000000-0005-0000-0000-000000160000}"/>
    <cellStyle name="20% - Accent5 6 5 3" xfId="21477" xr:uid="{00000000-0005-0000-0000-000001160000}"/>
    <cellStyle name="20% - Accent5 6 6" xfId="5110" xr:uid="{00000000-0005-0000-0000-000002160000}"/>
    <cellStyle name="20% - Accent5 6 7" xfId="18879" xr:uid="{00000000-0005-0000-0000-000003160000}"/>
    <cellStyle name="20% - Accent5 7" xfId="5111" xr:uid="{00000000-0005-0000-0000-000004160000}"/>
    <cellStyle name="20% - Accent5 7 2" xfId="5112" xr:uid="{00000000-0005-0000-0000-000005160000}"/>
    <cellStyle name="20% - Accent5 7 2 2" xfId="5113" xr:uid="{00000000-0005-0000-0000-000006160000}"/>
    <cellStyle name="20% - Accent5 7 2 2 2" xfId="5114" xr:uid="{00000000-0005-0000-0000-000007160000}"/>
    <cellStyle name="20% - Accent5 7 2 2 2 2" xfId="5115" xr:uid="{00000000-0005-0000-0000-000008160000}"/>
    <cellStyle name="20% - Accent5 7 2 2 2 3" xfId="23573" xr:uid="{00000000-0005-0000-0000-000009160000}"/>
    <cellStyle name="20% - Accent5 7 2 2 3" xfId="5116" xr:uid="{00000000-0005-0000-0000-00000A160000}"/>
    <cellStyle name="20% - Accent5 7 2 2 4" xfId="20990" xr:uid="{00000000-0005-0000-0000-00000B160000}"/>
    <cellStyle name="20% - Accent5 7 2 3" xfId="5117" xr:uid="{00000000-0005-0000-0000-00000C160000}"/>
    <cellStyle name="20% - Accent5 7 2 3 2" xfId="5118" xr:uid="{00000000-0005-0000-0000-00000D160000}"/>
    <cellStyle name="20% - Accent5 7 2 3 3" xfId="22283" xr:uid="{00000000-0005-0000-0000-00000E160000}"/>
    <cellStyle name="20% - Accent5 7 2 4" xfId="5119" xr:uid="{00000000-0005-0000-0000-00000F160000}"/>
    <cellStyle name="20% - Accent5 7 2 5" xfId="19696" xr:uid="{00000000-0005-0000-0000-000010160000}"/>
    <cellStyle name="20% - Accent5 7 3" xfId="5120" xr:uid="{00000000-0005-0000-0000-000011160000}"/>
    <cellStyle name="20% - Accent5 7 3 2" xfId="5121" xr:uid="{00000000-0005-0000-0000-000012160000}"/>
    <cellStyle name="20% - Accent5 7 3 2 2" xfId="5122" xr:uid="{00000000-0005-0000-0000-000013160000}"/>
    <cellStyle name="20% - Accent5 7 3 2 3" xfId="22928" xr:uid="{00000000-0005-0000-0000-000014160000}"/>
    <cellStyle name="20% - Accent5 7 3 3" xfId="5123" xr:uid="{00000000-0005-0000-0000-000015160000}"/>
    <cellStyle name="20% - Accent5 7 3 4" xfId="20345" xr:uid="{00000000-0005-0000-0000-000016160000}"/>
    <cellStyle name="20% - Accent5 7 4" xfId="5124" xr:uid="{00000000-0005-0000-0000-000017160000}"/>
    <cellStyle name="20% - Accent5 7 4 2" xfId="5125" xr:uid="{00000000-0005-0000-0000-000018160000}"/>
    <cellStyle name="20% - Accent5 7 4 3" xfId="21638" xr:uid="{00000000-0005-0000-0000-000019160000}"/>
    <cellStyle name="20% - Accent5 7 5" xfId="5126" xr:uid="{00000000-0005-0000-0000-00001A160000}"/>
    <cellStyle name="20% - Accent5 7 6" xfId="19044" xr:uid="{00000000-0005-0000-0000-00001B160000}"/>
    <cellStyle name="20% - Accent5 8" xfId="5127" xr:uid="{00000000-0005-0000-0000-00001C160000}"/>
    <cellStyle name="20% - Accent5 8 2" xfId="5128" xr:uid="{00000000-0005-0000-0000-00001D160000}"/>
    <cellStyle name="20% - Accent5 8 2 2" xfId="5129" xr:uid="{00000000-0005-0000-0000-00001E160000}"/>
    <cellStyle name="20% - Accent5 8 2 2 2" xfId="5130" xr:uid="{00000000-0005-0000-0000-00001F160000}"/>
    <cellStyle name="20% - Accent5 8 2 2 3" xfId="23250" xr:uid="{00000000-0005-0000-0000-000020160000}"/>
    <cellStyle name="20% - Accent5 8 2 3" xfId="5131" xr:uid="{00000000-0005-0000-0000-000021160000}"/>
    <cellStyle name="20% - Accent5 8 2 4" xfId="20667" xr:uid="{00000000-0005-0000-0000-000022160000}"/>
    <cellStyle name="20% - Accent5 8 3" xfId="5132" xr:uid="{00000000-0005-0000-0000-000023160000}"/>
    <cellStyle name="20% - Accent5 8 3 2" xfId="5133" xr:uid="{00000000-0005-0000-0000-000024160000}"/>
    <cellStyle name="20% - Accent5 8 3 3" xfId="21960" xr:uid="{00000000-0005-0000-0000-000025160000}"/>
    <cellStyle name="20% - Accent5 8 4" xfId="5134" xr:uid="{00000000-0005-0000-0000-000026160000}"/>
    <cellStyle name="20% - Accent5 8 5" xfId="19370" xr:uid="{00000000-0005-0000-0000-000027160000}"/>
    <cellStyle name="20% - Accent5 9" xfId="5135" xr:uid="{00000000-0005-0000-0000-000028160000}"/>
    <cellStyle name="20% - Accent5 9 2" xfId="5136" xr:uid="{00000000-0005-0000-0000-000029160000}"/>
    <cellStyle name="20% - Accent5 9 2 2" xfId="5137" xr:uid="{00000000-0005-0000-0000-00002A160000}"/>
    <cellStyle name="20% - Accent5 9 2 3" xfId="22605" xr:uid="{00000000-0005-0000-0000-00002B160000}"/>
    <cellStyle name="20% - Accent5 9 3" xfId="5138" xr:uid="{00000000-0005-0000-0000-00002C160000}"/>
    <cellStyle name="20% - Accent5 9 4" xfId="20018" xr:uid="{00000000-0005-0000-0000-00002D160000}"/>
    <cellStyle name="20% - Accent6 10" xfId="5139" xr:uid="{00000000-0005-0000-0000-00002E160000}"/>
    <cellStyle name="20% - Accent6 10 2" xfId="5140" xr:uid="{00000000-0005-0000-0000-00002F160000}"/>
    <cellStyle name="20% - Accent6 10 3" xfId="21313" xr:uid="{00000000-0005-0000-0000-000030160000}"/>
    <cellStyle name="20% - Accent6 11" xfId="5141" xr:uid="{00000000-0005-0000-0000-000031160000}"/>
    <cellStyle name="20% - Accent6 12" xfId="5142" xr:uid="{00000000-0005-0000-0000-000032160000}"/>
    <cellStyle name="20% - Accent6 13" xfId="5143" xr:uid="{00000000-0005-0000-0000-000033160000}"/>
    <cellStyle name="20% - Accent6 14" xfId="5144" xr:uid="{00000000-0005-0000-0000-000034160000}"/>
    <cellStyle name="20% - Accent6 15" xfId="18628" xr:uid="{00000000-0005-0000-0000-000035160000}"/>
    <cellStyle name="20% - Accent6 2" xfId="5145" xr:uid="{00000000-0005-0000-0000-000036160000}"/>
    <cellStyle name="20% - Accent6 2 10" xfId="5146" xr:uid="{00000000-0005-0000-0000-000037160000}"/>
    <cellStyle name="20% - Accent6 2 11" xfId="18635" xr:uid="{00000000-0005-0000-0000-000038160000}"/>
    <cellStyle name="20% - Accent6 2 2" xfId="5147" xr:uid="{00000000-0005-0000-0000-000039160000}"/>
    <cellStyle name="20% - Accent6 2 2 10" xfId="18729" xr:uid="{00000000-0005-0000-0000-00003A160000}"/>
    <cellStyle name="20% - Accent6 2 2 2" xfId="5148" xr:uid="{00000000-0005-0000-0000-00003B160000}"/>
    <cellStyle name="20% - Accent6 2 2 2 2" xfId="5149" xr:uid="{00000000-0005-0000-0000-00003C160000}"/>
    <cellStyle name="20% - Accent6 2 2 2 2 2" xfId="5150" xr:uid="{00000000-0005-0000-0000-00003D160000}"/>
    <cellStyle name="20% - Accent6 2 2 2 2 2 2" xfId="5151" xr:uid="{00000000-0005-0000-0000-00003E160000}"/>
    <cellStyle name="20% - Accent6 2 2 2 2 2 2 2" xfId="5152" xr:uid="{00000000-0005-0000-0000-00003F160000}"/>
    <cellStyle name="20% - Accent6 2 2 2 2 2 2 2 2" xfId="5153" xr:uid="{00000000-0005-0000-0000-000040160000}"/>
    <cellStyle name="20% - Accent6 2 2 2 2 2 2 2 2 2" xfId="5154" xr:uid="{00000000-0005-0000-0000-000041160000}"/>
    <cellStyle name="20% - Accent6 2 2 2 2 2 2 2 2 2 2" xfId="5155" xr:uid="{00000000-0005-0000-0000-000042160000}"/>
    <cellStyle name="20% - Accent6 2 2 2 2 2 2 2 2 2 3" xfId="23886" xr:uid="{00000000-0005-0000-0000-000043160000}"/>
    <cellStyle name="20% - Accent6 2 2 2 2 2 2 2 2 3" xfId="5156" xr:uid="{00000000-0005-0000-0000-000044160000}"/>
    <cellStyle name="20% - Accent6 2 2 2 2 2 2 2 2 4" xfId="21303" xr:uid="{00000000-0005-0000-0000-000045160000}"/>
    <cellStyle name="20% - Accent6 2 2 2 2 2 2 2 3" xfId="5157" xr:uid="{00000000-0005-0000-0000-000046160000}"/>
    <cellStyle name="20% - Accent6 2 2 2 2 2 2 2 3 2" xfId="5158" xr:uid="{00000000-0005-0000-0000-000047160000}"/>
    <cellStyle name="20% - Accent6 2 2 2 2 2 2 2 3 3" xfId="22596" xr:uid="{00000000-0005-0000-0000-000048160000}"/>
    <cellStyle name="20% - Accent6 2 2 2 2 2 2 2 4" xfId="5159" xr:uid="{00000000-0005-0000-0000-000049160000}"/>
    <cellStyle name="20% - Accent6 2 2 2 2 2 2 2 5" xfId="20009" xr:uid="{00000000-0005-0000-0000-00004A160000}"/>
    <cellStyle name="20% - Accent6 2 2 2 2 2 2 3" xfId="5160" xr:uid="{00000000-0005-0000-0000-00004B160000}"/>
    <cellStyle name="20% - Accent6 2 2 2 2 2 2 3 2" xfId="5161" xr:uid="{00000000-0005-0000-0000-00004C160000}"/>
    <cellStyle name="20% - Accent6 2 2 2 2 2 2 3 2 2" xfId="5162" xr:uid="{00000000-0005-0000-0000-00004D160000}"/>
    <cellStyle name="20% - Accent6 2 2 2 2 2 2 3 2 3" xfId="23241" xr:uid="{00000000-0005-0000-0000-00004E160000}"/>
    <cellStyle name="20% - Accent6 2 2 2 2 2 2 3 3" xfId="5163" xr:uid="{00000000-0005-0000-0000-00004F160000}"/>
    <cellStyle name="20% - Accent6 2 2 2 2 2 2 3 4" xfId="20658" xr:uid="{00000000-0005-0000-0000-000050160000}"/>
    <cellStyle name="20% - Accent6 2 2 2 2 2 2 4" xfId="5164" xr:uid="{00000000-0005-0000-0000-000051160000}"/>
    <cellStyle name="20% - Accent6 2 2 2 2 2 2 4 2" xfId="5165" xr:uid="{00000000-0005-0000-0000-000052160000}"/>
    <cellStyle name="20% - Accent6 2 2 2 2 2 2 4 3" xfId="21951" xr:uid="{00000000-0005-0000-0000-000053160000}"/>
    <cellStyle name="20% - Accent6 2 2 2 2 2 2 5" xfId="5166" xr:uid="{00000000-0005-0000-0000-000054160000}"/>
    <cellStyle name="20% - Accent6 2 2 2 2 2 2 6" xfId="19361" xr:uid="{00000000-0005-0000-0000-000055160000}"/>
    <cellStyle name="20% - Accent6 2 2 2 2 2 3" xfId="5167" xr:uid="{00000000-0005-0000-0000-000056160000}"/>
    <cellStyle name="20% - Accent6 2 2 2 2 2 3 2" xfId="5168" xr:uid="{00000000-0005-0000-0000-000057160000}"/>
    <cellStyle name="20% - Accent6 2 2 2 2 2 3 2 2" xfId="5169" xr:uid="{00000000-0005-0000-0000-000058160000}"/>
    <cellStyle name="20% - Accent6 2 2 2 2 2 3 2 2 2" xfId="5170" xr:uid="{00000000-0005-0000-0000-000059160000}"/>
    <cellStyle name="20% - Accent6 2 2 2 2 2 3 2 2 3" xfId="23564" xr:uid="{00000000-0005-0000-0000-00005A160000}"/>
    <cellStyle name="20% - Accent6 2 2 2 2 2 3 2 3" xfId="5171" xr:uid="{00000000-0005-0000-0000-00005B160000}"/>
    <cellStyle name="20% - Accent6 2 2 2 2 2 3 2 4" xfId="20981" xr:uid="{00000000-0005-0000-0000-00005C160000}"/>
    <cellStyle name="20% - Accent6 2 2 2 2 2 3 3" xfId="5172" xr:uid="{00000000-0005-0000-0000-00005D160000}"/>
    <cellStyle name="20% - Accent6 2 2 2 2 2 3 3 2" xfId="5173" xr:uid="{00000000-0005-0000-0000-00005E160000}"/>
    <cellStyle name="20% - Accent6 2 2 2 2 2 3 3 3" xfId="22274" xr:uid="{00000000-0005-0000-0000-00005F160000}"/>
    <cellStyle name="20% - Accent6 2 2 2 2 2 3 4" xfId="5174" xr:uid="{00000000-0005-0000-0000-000060160000}"/>
    <cellStyle name="20% - Accent6 2 2 2 2 2 3 5" xfId="19687" xr:uid="{00000000-0005-0000-0000-000061160000}"/>
    <cellStyle name="20% - Accent6 2 2 2 2 2 4" xfId="5175" xr:uid="{00000000-0005-0000-0000-000062160000}"/>
    <cellStyle name="20% - Accent6 2 2 2 2 2 4 2" xfId="5176" xr:uid="{00000000-0005-0000-0000-000063160000}"/>
    <cellStyle name="20% - Accent6 2 2 2 2 2 4 2 2" xfId="5177" xr:uid="{00000000-0005-0000-0000-000064160000}"/>
    <cellStyle name="20% - Accent6 2 2 2 2 2 4 2 3" xfId="22919" xr:uid="{00000000-0005-0000-0000-000065160000}"/>
    <cellStyle name="20% - Accent6 2 2 2 2 2 4 3" xfId="5178" xr:uid="{00000000-0005-0000-0000-000066160000}"/>
    <cellStyle name="20% - Accent6 2 2 2 2 2 4 4" xfId="20336" xr:uid="{00000000-0005-0000-0000-000067160000}"/>
    <cellStyle name="20% - Accent6 2 2 2 2 2 5" xfId="5179" xr:uid="{00000000-0005-0000-0000-000068160000}"/>
    <cellStyle name="20% - Accent6 2 2 2 2 2 5 2" xfId="5180" xr:uid="{00000000-0005-0000-0000-000069160000}"/>
    <cellStyle name="20% - Accent6 2 2 2 2 2 5 3" xfId="21629" xr:uid="{00000000-0005-0000-0000-00006A160000}"/>
    <cellStyle name="20% - Accent6 2 2 2 2 2 6" xfId="5181" xr:uid="{00000000-0005-0000-0000-00006B160000}"/>
    <cellStyle name="20% - Accent6 2 2 2 2 2 7" xfId="19035" xr:uid="{00000000-0005-0000-0000-00006C160000}"/>
    <cellStyle name="20% - Accent6 2 2 2 2 3" xfId="5182" xr:uid="{00000000-0005-0000-0000-00006D160000}"/>
    <cellStyle name="20% - Accent6 2 2 2 2 3 2" xfId="5183" xr:uid="{00000000-0005-0000-0000-00006E160000}"/>
    <cellStyle name="20% - Accent6 2 2 2 2 3 2 2" xfId="5184" xr:uid="{00000000-0005-0000-0000-00006F160000}"/>
    <cellStyle name="20% - Accent6 2 2 2 2 3 2 2 2" xfId="5185" xr:uid="{00000000-0005-0000-0000-000070160000}"/>
    <cellStyle name="20% - Accent6 2 2 2 2 3 2 2 2 2" xfId="5186" xr:uid="{00000000-0005-0000-0000-000071160000}"/>
    <cellStyle name="20% - Accent6 2 2 2 2 3 2 2 2 3" xfId="23725" xr:uid="{00000000-0005-0000-0000-000072160000}"/>
    <cellStyle name="20% - Accent6 2 2 2 2 3 2 2 3" xfId="5187" xr:uid="{00000000-0005-0000-0000-000073160000}"/>
    <cellStyle name="20% - Accent6 2 2 2 2 3 2 2 4" xfId="21142" xr:uid="{00000000-0005-0000-0000-000074160000}"/>
    <cellStyle name="20% - Accent6 2 2 2 2 3 2 3" xfId="5188" xr:uid="{00000000-0005-0000-0000-000075160000}"/>
    <cellStyle name="20% - Accent6 2 2 2 2 3 2 3 2" xfId="5189" xr:uid="{00000000-0005-0000-0000-000076160000}"/>
    <cellStyle name="20% - Accent6 2 2 2 2 3 2 3 3" xfId="22435" xr:uid="{00000000-0005-0000-0000-000077160000}"/>
    <cellStyle name="20% - Accent6 2 2 2 2 3 2 4" xfId="5190" xr:uid="{00000000-0005-0000-0000-000078160000}"/>
    <cellStyle name="20% - Accent6 2 2 2 2 3 2 5" xfId="19848" xr:uid="{00000000-0005-0000-0000-000079160000}"/>
    <cellStyle name="20% - Accent6 2 2 2 2 3 3" xfId="5191" xr:uid="{00000000-0005-0000-0000-00007A160000}"/>
    <cellStyle name="20% - Accent6 2 2 2 2 3 3 2" xfId="5192" xr:uid="{00000000-0005-0000-0000-00007B160000}"/>
    <cellStyle name="20% - Accent6 2 2 2 2 3 3 2 2" xfId="5193" xr:uid="{00000000-0005-0000-0000-00007C160000}"/>
    <cellStyle name="20% - Accent6 2 2 2 2 3 3 2 3" xfId="23080" xr:uid="{00000000-0005-0000-0000-00007D160000}"/>
    <cellStyle name="20% - Accent6 2 2 2 2 3 3 3" xfId="5194" xr:uid="{00000000-0005-0000-0000-00007E160000}"/>
    <cellStyle name="20% - Accent6 2 2 2 2 3 3 4" xfId="20497" xr:uid="{00000000-0005-0000-0000-00007F160000}"/>
    <cellStyle name="20% - Accent6 2 2 2 2 3 4" xfId="5195" xr:uid="{00000000-0005-0000-0000-000080160000}"/>
    <cellStyle name="20% - Accent6 2 2 2 2 3 4 2" xfId="5196" xr:uid="{00000000-0005-0000-0000-000081160000}"/>
    <cellStyle name="20% - Accent6 2 2 2 2 3 4 3" xfId="21790" xr:uid="{00000000-0005-0000-0000-000082160000}"/>
    <cellStyle name="20% - Accent6 2 2 2 2 3 5" xfId="5197" xr:uid="{00000000-0005-0000-0000-000083160000}"/>
    <cellStyle name="20% - Accent6 2 2 2 2 3 6" xfId="19200" xr:uid="{00000000-0005-0000-0000-000084160000}"/>
    <cellStyle name="20% - Accent6 2 2 2 2 4" xfId="5198" xr:uid="{00000000-0005-0000-0000-000085160000}"/>
    <cellStyle name="20% - Accent6 2 2 2 2 4 2" xfId="5199" xr:uid="{00000000-0005-0000-0000-000086160000}"/>
    <cellStyle name="20% - Accent6 2 2 2 2 4 2 2" xfId="5200" xr:uid="{00000000-0005-0000-0000-000087160000}"/>
    <cellStyle name="20% - Accent6 2 2 2 2 4 2 2 2" xfId="5201" xr:uid="{00000000-0005-0000-0000-000088160000}"/>
    <cellStyle name="20% - Accent6 2 2 2 2 4 2 2 3" xfId="23403" xr:uid="{00000000-0005-0000-0000-000089160000}"/>
    <cellStyle name="20% - Accent6 2 2 2 2 4 2 3" xfId="5202" xr:uid="{00000000-0005-0000-0000-00008A160000}"/>
    <cellStyle name="20% - Accent6 2 2 2 2 4 2 4" xfId="20820" xr:uid="{00000000-0005-0000-0000-00008B160000}"/>
    <cellStyle name="20% - Accent6 2 2 2 2 4 3" xfId="5203" xr:uid="{00000000-0005-0000-0000-00008C160000}"/>
    <cellStyle name="20% - Accent6 2 2 2 2 4 3 2" xfId="5204" xr:uid="{00000000-0005-0000-0000-00008D160000}"/>
    <cellStyle name="20% - Accent6 2 2 2 2 4 3 3" xfId="22113" xr:uid="{00000000-0005-0000-0000-00008E160000}"/>
    <cellStyle name="20% - Accent6 2 2 2 2 4 4" xfId="5205" xr:uid="{00000000-0005-0000-0000-00008F160000}"/>
    <cellStyle name="20% - Accent6 2 2 2 2 4 5" xfId="19526" xr:uid="{00000000-0005-0000-0000-000090160000}"/>
    <cellStyle name="20% - Accent6 2 2 2 2 5" xfId="5206" xr:uid="{00000000-0005-0000-0000-000091160000}"/>
    <cellStyle name="20% - Accent6 2 2 2 2 5 2" xfId="5207" xr:uid="{00000000-0005-0000-0000-000092160000}"/>
    <cellStyle name="20% - Accent6 2 2 2 2 5 2 2" xfId="5208" xr:uid="{00000000-0005-0000-0000-000093160000}"/>
    <cellStyle name="20% - Accent6 2 2 2 2 5 2 3" xfId="22758" xr:uid="{00000000-0005-0000-0000-000094160000}"/>
    <cellStyle name="20% - Accent6 2 2 2 2 5 3" xfId="5209" xr:uid="{00000000-0005-0000-0000-000095160000}"/>
    <cellStyle name="20% - Accent6 2 2 2 2 5 4" xfId="20175" xr:uid="{00000000-0005-0000-0000-000096160000}"/>
    <cellStyle name="20% - Accent6 2 2 2 2 6" xfId="5210" xr:uid="{00000000-0005-0000-0000-000097160000}"/>
    <cellStyle name="20% - Accent6 2 2 2 2 6 2" xfId="5211" xr:uid="{00000000-0005-0000-0000-000098160000}"/>
    <cellStyle name="20% - Accent6 2 2 2 2 6 3" xfId="21468" xr:uid="{00000000-0005-0000-0000-000099160000}"/>
    <cellStyle name="20% - Accent6 2 2 2 2 7" xfId="5212" xr:uid="{00000000-0005-0000-0000-00009A160000}"/>
    <cellStyle name="20% - Accent6 2 2 2 2 8" xfId="18870" xr:uid="{00000000-0005-0000-0000-00009B160000}"/>
    <cellStyle name="20% - Accent6 2 2 2 3" xfId="5213" xr:uid="{00000000-0005-0000-0000-00009C160000}"/>
    <cellStyle name="20% - Accent6 2 2 2 3 2" xfId="5214" xr:uid="{00000000-0005-0000-0000-00009D160000}"/>
    <cellStyle name="20% - Accent6 2 2 2 3 2 2" xfId="5215" xr:uid="{00000000-0005-0000-0000-00009E160000}"/>
    <cellStyle name="20% - Accent6 2 2 2 3 2 2 2" xfId="5216" xr:uid="{00000000-0005-0000-0000-00009F160000}"/>
    <cellStyle name="20% - Accent6 2 2 2 3 2 2 2 2" xfId="5217" xr:uid="{00000000-0005-0000-0000-0000A0160000}"/>
    <cellStyle name="20% - Accent6 2 2 2 3 2 2 2 2 2" xfId="5218" xr:uid="{00000000-0005-0000-0000-0000A1160000}"/>
    <cellStyle name="20% - Accent6 2 2 2 3 2 2 2 2 3" xfId="23806" xr:uid="{00000000-0005-0000-0000-0000A2160000}"/>
    <cellStyle name="20% - Accent6 2 2 2 3 2 2 2 3" xfId="5219" xr:uid="{00000000-0005-0000-0000-0000A3160000}"/>
    <cellStyle name="20% - Accent6 2 2 2 3 2 2 2 4" xfId="21223" xr:uid="{00000000-0005-0000-0000-0000A4160000}"/>
    <cellStyle name="20% - Accent6 2 2 2 3 2 2 3" xfId="5220" xr:uid="{00000000-0005-0000-0000-0000A5160000}"/>
    <cellStyle name="20% - Accent6 2 2 2 3 2 2 3 2" xfId="5221" xr:uid="{00000000-0005-0000-0000-0000A6160000}"/>
    <cellStyle name="20% - Accent6 2 2 2 3 2 2 3 3" xfId="22516" xr:uid="{00000000-0005-0000-0000-0000A7160000}"/>
    <cellStyle name="20% - Accent6 2 2 2 3 2 2 4" xfId="5222" xr:uid="{00000000-0005-0000-0000-0000A8160000}"/>
    <cellStyle name="20% - Accent6 2 2 2 3 2 2 5" xfId="19929" xr:uid="{00000000-0005-0000-0000-0000A9160000}"/>
    <cellStyle name="20% - Accent6 2 2 2 3 2 3" xfId="5223" xr:uid="{00000000-0005-0000-0000-0000AA160000}"/>
    <cellStyle name="20% - Accent6 2 2 2 3 2 3 2" xfId="5224" xr:uid="{00000000-0005-0000-0000-0000AB160000}"/>
    <cellStyle name="20% - Accent6 2 2 2 3 2 3 2 2" xfId="5225" xr:uid="{00000000-0005-0000-0000-0000AC160000}"/>
    <cellStyle name="20% - Accent6 2 2 2 3 2 3 2 3" xfId="23161" xr:uid="{00000000-0005-0000-0000-0000AD160000}"/>
    <cellStyle name="20% - Accent6 2 2 2 3 2 3 3" xfId="5226" xr:uid="{00000000-0005-0000-0000-0000AE160000}"/>
    <cellStyle name="20% - Accent6 2 2 2 3 2 3 4" xfId="20578" xr:uid="{00000000-0005-0000-0000-0000AF160000}"/>
    <cellStyle name="20% - Accent6 2 2 2 3 2 4" xfId="5227" xr:uid="{00000000-0005-0000-0000-0000B0160000}"/>
    <cellStyle name="20% - Accent6 2 2 2 3 2 4 2" xfId="5228" xr:uid="{00000000-0005-0000-0000-0000B1160000}"/>
    <cellStyle name="20% - Accent6 2 2 2 3 2 4 3" xfId="21871" xr:uid="{00000000-0005-0000-0000-0000B2160000}"/>
    <cellStyle name="20% - Accent6 2 2 2 3 2 5" xfId="5229" xr:uid="{00000000-0005-0000-0000-0000B3160000}"/>
    <cellStyle name="20% - Accent6 2 2 2 3 2 6" xfId="19281" xr:uid="{00000000-0005-0000-0000-0000B4160000}"/>
    <cellStyle name="20% - Accent6 2 2 2 3 3" xfId="5230" xr:uid="{00000000-0005-0000-0000-0000B5160000}"/>
    <cellStyle name="20% - Accent6 2 2 2 3 3 2" xfId="5231" xr:uid="{00000000-0005-0000-0000-0000B6160000}"/>
    <cellStyle name="20% - Accent6 2 2 2 3 3 2 2" xfId="5232" xr:uid="{00000000-0005-0000-0000-0000B7160000}"/>
    <cellStyle name="20% - Accent6 2 2 2 3 3 2 2 2" xfId="5233" xr:uid="{00000000-0005-0000-0000-0000B8160000}"/>
    <cellStyle name="20% - Accent6 2 2 2 3 3 2 2 3" xfId="23484" xr:uid="{00000000-0005-0000-0000-0000B9160000}"/>
    <cellStyle name="20% - Accent6 2 2 2 3 3 2 3" xfId="5234" xr:uid="{00000000-0005-0000-0000-0000BA160000}"/>
    <cellStyle name="20% - Accent6 2 2 2 3 3 2 4" xfId="20901" xr:uid="{00000000-0005-0000-0000-0000BB160000}"/>
    <cellStyle name="20% - Accent6 2 2 2 3 3 3" xfId="5235" xr:uid="{00000000-0005-0000-0000-0000BC160000}"/>
    <cellStyle name="20% - Accent6 2 2 2 3 3 3 2" xfId="5236" xr:uid="{00000000-0005-0000-0000-0000BD160000}"/>
    <cellStyle name="20% - Accent6 2 2 2 3 3 3 3" xfId="22194" xr:uid="{00000000-0005-0000-0000-0000BE160000}"/>
    <cellStyle name="20% - Accent6 2 2 2 3 3 4" xfId="5237" xr:uid="{00000000-0005-0000-0000-0000BF160000}"/>
    <cellStyle name="20% - Accent6 2 2 2 3 3 5" xfId="19607" xr:uid="{00000000-0005-0000-0000-0000C0160000}"/>
    <cellStyle name="20% - Accent6 2 2 2 3 4" xfId="5238" xr:uid="{00000000-0005-0000-0000-0000C1160000}"/>
    <cellStyle name="20% - Accent6 2 2 2 3 4 2" xfId="5239" xr:uid="{00000000-0005-0000-0000-0000C2160000}"/>
    <cellStyle name="20% - Accent6 2 2 2 3 4 2 2" xfId="5240" xr:uid="{00000000-0005-0000-0000-0000C3160000}"/>
    <cellStyle name="20% - Accent6 2 2 2 3 4 2 3" xfId="22839" xr:uid="{00000000-0005-0000-0000-0000C4160000}"/>
    <cellStyle name="20% - Accent6 2 2 2 3 4 3" xfId="5241" xr:uid="{00000000-0005-0000-0000-0000C5160000}"/>
    <cellStyle name="20% - Accent6 2 2 2 3 4 4" xfId="20256" xr:uid="{00000000-0005-0000-0000-0000C6160000}"/>
    <cellStyle name="20% - Accent6 2 2 2 3 5" xfId="5242" xr:uid="{00000000-0005-0000-0000-0000C7160000}"/>
    <cellStyle name="20% - Accent6 2 2 2 3 5 2" xfId="5243" xr:uid="{00000000-0005-0000-0000-0000C8160000}"/>
    <cellStyle name="20% - Accent6 2 2 2 3 5 3" xfId="21549" xr:uid="{00000000-0005-0000-0000-0000C9160000}"/>
    <cellStyle name="20% - Accent6 2 2 2 3 6" xfId="5244" xr:uid="{00000000-0005-0000-0000-0000CA160000}"/>
    <cellStyle name="20% - Accent6 2 2 2 3 7" xfId="18955" xr:uid="{00000000-0005-0000-0000-0000CB160000}"/>
    <cellStyle name="20% - Accent6 2 2 2 4" xfId="5245" xr:uid="{00000000-0005-0000-0000-0000CC160000}"/>
    <cellStyle name="20% - Accent6 2 2 2 4 2" xfId="5246" xr:uid="{00000000-0005-0000-0000-0000CD160000}"/>
    <cellStyle name="20% - Accent6 2 2 2 4 2 2" xfId="5247" xr:uid="{00000000-0005-0000-0000-0000CE160000}"/>
    <cellStyle name="20% - Accent6 2 2 2 4 2 2 2" xfId="5248" xr:uid="{00000000-0005-0000-0000-0000CF160000}"/>
    <cellStyle name="20% - Accent6 2 2 2 4 2 2 2 2" xfId="5249" xr:uid="{00000000-0005-0000-0000-0000D0160000}"/>
    <cellStyle name="20% - Accent6 2 2 2 4 2 2 2 3" xfId="23645" xr:uid="{00000000-0005-0000-0000-0000D1160000}"/>
    <cellStyle name="20% - Accent6 2 2 2 4 2 2 3" xfId="5250" xr:uid="{00000000-0005-0000-0000-0000D2160000}"/>
    <cellStyle name="20% - Accent6 2 2 2 4 2 2 4" xfId="21062" xr:uid="{00000000-0005-0000-0000-0000D3160000}"/>
    <cellStyle name="20% - Accent6 2 2 2 4 2 3" xfId="5251" xr:uid="{00000000-0005-0000-0000-0000D4160000}"/>
    <cellStyle name="20% - Accent6 2 2 2 4 2 3 2" xfId="5252" xr:uid="{00000000-0005-0000-0000-0000D5160000}"/>
    <cellStyle name="20% - Accent6 2 2 2 4 2 3 3" xfId="22355" xr:uid="{00000000-0005-0000-0000-0000D6160000}"/>
    <cellStyle name="20% - Accent6 2 2 2 4 2 4" xfId="5253" xr:uid="{00000000-0005-0000-0000-0000D7160000}"/>
    <cellStyle name="20% - Accent6 2 2 2 4 2 5" xfId="19768" xr:uid="{00000000-0005-0000-0000-0000D8160000}"/>
    <cellStyle name="20% - Accent6 2 2 2 4 3" xfId="5254" xr:uid="{00000000-0005-0000-0000-0000D9160000}"/>
    <cellStyle name="20% - Accent6 2 2 2 4 3 2" xfId="5255" xr:uid="{00000000-0005-0000-0000-0000DA160000}"/>
    <cellStyle name="20% - Accent6 2 2 2 4 3 2 2" xfId="5256" xr:uid="{00000000-0005-0000-0000-0000DB160000}"/>
    <cellStyle name="20% - Accent6 2 2 2 4 3 2 3" xfId="23000" xr:uid="{00000000-0005-0000-0000-0000DC160000}"/>
    <cellStyle name="20% - Accent6 2 2 2 4 3 3" xfId="5257" xr:uid="{00000000-0005-0000-0000-0000DD160000}"/>
    <cellStyle name="20% - Accent6 2 2 2 4 3 4" xfId="20417" xr:uid="{00000000-0005-0000-0000-0000DE160000}"/>
    <cellStyle name="20% - Accent6 2 2 2 4 4" xfId="5258" xr:uid="{00000000-0005-0000-0000-0000DF160000}"/>
    <cellStyle name="20% - Accent6 2 2 2 4 4 2" xfId="5259" xr:uid="{00000000-0005-0000-0000-0000E0160000}"/>
    <cellStyle name="20% - Accent6 2 2 2 4 4 3" xfId="21710" xr:uid="{00000000-0005-0000-0000-0000E1160000}"/>
    <cellStyle name="20% - Accent6 2 2 2 4 5" xfId="5260" xr:uid="{00000000-0005-0000-0000-0000E2160000}"/>
    <cellStyle name="20% - Accent6 2 2 2 4 6" xfId="19120" xr:uid="{00000000-0005-0000-0000-0000E3160000}"/>
    <cellStyle name="20% - Accent6 2 2 2 5" xfId="5261" xr:uid="{00000000-0005-0000-0000-0000E4160000}"/>
    <cellStyle name="20% - Accent6 2 2 2 5 2" xfId="5262" xr:uid="{00000000-0005-0000-0000-0000E5160000}"/>
    <cellStyle name="20% - Accent6 2 2 2 5 2 2" xfId="5263" xr:uid="{00000000-0005-0000-0000-0000E6160000}"/>
    <cellStyle name="20% - Accent6 2 2 2 5 2 2 2" xfId="5264" xr:uid="{00000000-0005-0000-0000-0000E7160000}"/>
    <cellStyle name="20% - Accent6 2 2 2 5 2 2 3" xfId="23322" xr:uid="{00000000-0005-0000-0000-0000E8160000}"/>
    <cellStyle name="20% - Accent6 2 2 2 5 2 3" xfId="5265" xr:uid="{00000000-0005-0000-0000-0000E9160000}"/>
    <cellStyle name="20% - Accent6 2 2 2 5 2 4" xfId="20739" xr:uid="{00000000-0005-0000-0000-0000EA160000}"/>
    <cellStyle name="20% - Accent6 2 2 2 5 3" xfId="5266" xr:uid="{00000000-0005-0000-0000-0000EB160000}"/>
    <cellStyle name="20% - Accent6 2 2 2 5 3 2" xfId="5267" xr:uid="{00000000-0005-0000-0000-0000EC160000}"/>
    <cellStyle name="20% - Accent6 2 2 2 5 3 3" xfId="22032" xr:uid="{00000000-0005-0000-0000-0000ED160000}"/>
    <cellStyle name="20% - Accent6 2 2 2 5 4" xfId="5268" xr:uid="{00000000-0005-0000-0000-0000EE160000}"/>
    <cellStyle name="20% - Accent6 2 2 2 5 5" xfId="19446" xr:uid="{00000000-0005-0000-0000-0000EF160000}"/>
    <cellStyle name="20% - Accent6 2 2 2 6" xfId="5269" xr:uid="{00000000-0005-0000-0000-0000F0160000}"/>
    <cellStyle name="20% - Accent6 2 2 2 6 2" xfId="5270" xr:uid="{00000000-0005-0000-0000-0000F1160000}"/>
    <cellStyle name="20% - Accent6 2 2 2 6 2 2" xfId="5271" xr:uid="{00000000-0005-0000-0000-0000F2160000}"/>
    <cellStyle name="20% - Accent6 2 2 2 6 2 3" xfId="22677" xr:uid="{00000000-0005-0000-0000-0000F3160000}"/>
    <cellStyle name="20% - Accent6 2 2 2 6 3" xfId="5272" xr:uid="{00000000-0005-0000-0000-0000F4160000}"/>
    <cellStyle name="20% - Accent6 2 2 2 6 4" xfId="20094" xr:uid="{00000000-0005-0000-0000-0000F5160000}"/>
    <cellStyle name="20% - Accent6 2 2 2 7" xfId="5273" xr:uid="{00000000-0005-0000-0000-0000F6160000}"/>
    <cellStyle name="20% - Accent6 2 2 2 7 2" xfId="5274" xr:uid="{00000000-0005-0000-0000-0000F7160000}"/>
    <cellStyle name="20% - Accent6 2 2 2 7 3" xfId="21387" xr:uid="{00000000-0005-0000-0000-0000F8160000}"/>
    <cellStyle name="20% - Accent6 2 2 2 8" xfId="5275" xr:uid="{00000000-0005-0000-0000-0000F9160000}"/>
    <cellStyle name="20% - Accent6 2 2 2 9" xfId="18773" xr:uid="{00000000-0005-0000-0000-0000FA160000}"/>
    <cellStyle name="20% - Accent6 2 2 3" xfId="5276" xr:uid="{00000000-0005-0000-0000-0000FB160000}"/>
    <cellStyle name="20% - Accent6 2 2 3 2" xfId="5277" xr:uid="{00000000-0005-0000-0000-0000FC160000}"/>
    <cellStyle name="20% - Accent6 2 2 3 2 2" xfId="5278" xr:uid="{00000000-0005-0000-0000-0000FD160000}"/>
    <cellStyle name="20% - Accent6 2 2 3 2 2 2" xfId="5279" xr:uid="{00000000-0005-0000-0000-0000FE160000}"/>
    <cellStyle name="20% - Accent6 2 2 3 2 2 2 2" xfId="5280" xr:uid="{00000000-0005-0000-0000-0000FF160000}"/>
    <cellStyle name="20% - Accent6 2 2 3 2 2 2 2 2" xfId="5281" xr:uid="{00000000-0005-0000-0000-000000170000}"/>
    <cellStyle name="20% - Accent6 2 2 3 2 2 2 2 2 2" xfId="5282" xr:uid="{00000000-0005-0000-0000-000001170000}"/>
    <cellStyle name="20% - Accent6 2 2 3 2 2 2 2 2 3" xfId="23846" xr:uid="{00000000-0005-0000-0000-000002170000}"/>
    <cellStyle name="20% - Accent6 2 2 3 2 2 2 2 3" xfId="5283" xr:uid="{00000000-0005-0000-0000-000003170000}"/>
    <cellStyle name="20% - Accent6 2 2 3 2 2 2 2 4" xfId="21263" xr:uid="{00000000-0005-0000-0000-000004170000}"/>
    <cellStyle name="20% - Accent6 2 2 3 2 2 2 3" xfId="5284" xr:uid="{00000000-0005-0000-0000-000005170000}"/>
    <cellStyle name="20% - Accent6 2 2 3 2 2 2 3 2" xfId="5285" xr:uid="{00000000-0005-0000-0000-000006170000}"/>
    <cellStyle name="20% - Accent6 2 2 3 2 2 2 3 3" xfId="22556" xr:uid="{00000000-0005-0000-0000-000007170000}"/>
    <cellStyle name="20% - Accent6 2 2 3 2 2 2 4" xfId="5286" xr:uid="{00000000-0005-0000-0000-000008170000}"/>
    <cellStyle name="20% - Accent6 2 2 3 2 2 2 5" xfId="19969" xr:uid="{00000000-0005-0000-0000-000009170000}"/>
    <cellStyle name="20% - Accent6 2 2 3 2 2 3" xfId="5287" xr:uid="{00000000-0005-0000-0000-00000A170000}"/>
    <cellStyle name="20% - Accent6 2 2 3 2 2 3 2" xfId="5288" xr:uid="{00000000-0005-0000-0000-00000B170000}"/>
    <cellStyle name="20% - Accent6 2 2 3 2 2 3 2 2" xfId="5289" xr:uid="{00000000-0005-0000-0000-00000C170000}"/>
    <cellStyle name="20% - Accent6 2 2 3 2 2 3 2 3" xfId="23201" xr:uid="{00000000-0005-0000-0000-00000D170000}"/>
    <cellStyle name="20% - Accent6 2 2 3 2 2 3 3" xfId="5290" xr:uid="{00000000-0005-0000-0000-00000E170000}"/>
    <cellStyle name="20% - Accent6 2 2 3 2 2 3 4" xfId="20618" xr:uid="{00000000-0005-0000-0000-00000F170000}"/>
    <cellStyle name="20% - Accent6 2 2 3 2 2 4" xfId="5291" xr:uid="{00000000-0005-0000-0000-000010170000}"/>
    <cellStyle name="20% - Accent6 2 2 3 2 2 4 2" xfId="5292" xr:uid="{00000000-0005-0000-0000-000011170000}"/>
    <cellStyle name="20% - Accent6 2 2 3 2 2 4 3" xfId="21911" xr:uid="{00000000-0005-0000-0000-000012170000}"/>
    <cellStyle name="20% - Accent6 2 2 3 2 2 5" xfId="5293" xr:uid="{00000000-0005-0000-0000-000013170000}"/>
    <cellStyle name="20% - Accent6 2 2 3 2 2 6" xfId="19321" xr:uid="{00000000-0005-0000-0000-000014170000}"/>
    <cellStyle name="20% - Accent6 2 2 3 2 3" xfId="5294" xr:uid="{00000000-0005-0000-0000-000015170000}"/>
    <cellStyle name="20% - Accent6 2 2 3 2 3 2" xfId="5295" xr:uid="{00000000-0005-0000-0000-000016170000}"/>
    <cellStyle name="20% - Accent6 2 2 3 2 3 2 2" xfId="5296" xr:uid="{00000000-0005-0000-0000-000017170000}"/>
    <cellStyle name="20% - Accent6 2 2 3 2 3 2 2 2" xfId="5297" xr:uid="{00000000-0005-0000-0000-000018170000}"/>
    <cellStyle name="20% - Accent6 2 2 3 2 3 2 2 3" xfId="23524" xr:uid="{00000000-0005-0000-0000-000019170000}"/>
    <cellStyle name="20% - Accent6 2 2 3 2 3 2 3" xfId="5298" xr:uid="{00000000-0005-0000-0000-00001A170000}"/>
    <cellStyle name="20% - Accent6 2 2 3 2 3 2 4" xfId="20941" xr:uid="{00000000-0005-0000-0000-00001B170000}"/>
    <cellStyle name="20% - Accent6 2 2 3 2 3 3" xfId="5299" xr:uid="{00000000-0005-0000-0000-00001C170000}"/>
    <cellStyle name="20% - Accent6 2 2 3 2 3 3 2" xfId="5300" xr:uid="{00000000-0005-0000-0000-00001D170000}"/>
    <cellStyle name="20% - Accent6 2 2 3 2 3 3 3" xfId="22234" xr:uid="{00000000-0005-0000-0000-00001E170000}"/>
    <cellStyle name="20% - Accent6 2 2 3 2 3 4" xfId="5301" xr:uid="{00000000-0005-0000-0000-00001F170000}"/>
    <cellStyle name="20% - Accent6 2 2 3 2 3 5" xfId="19647" xr:uid="{00000000-0005-0000-0000-000020170000}"/>
    <cellStyle name="20% - Accent6 2 2 3 2 4" xfId="5302" xr:uid="{00000000-0005-0000-0000-000021170000}"/>
    <cellStyle name="20% - Accent6 2 2 3 2 4 2" xfId="5303" xr:uid="{00000000-0005-0000-0000-000022170000}"/>
    <cellStyle name="20% - Accent6 2 2 3 2 4 2 2" xfId="5304" xr:uid="{00000000-0005-0000-0000-000023170000}"/>
    <cellStyle name="20% - Accent6 2 2 3 2 4 2 3" xfId="22879" xr:uid="{00000000-0005-0000-0000-000024170000}"/>
    <cellStyle name="20% - Accent6 2 2 3 2 4 3" xfId="5305" xr:uid="{00000000-0005-0000-0000-000025170000}"/>
    <cellStyle name="20% - Accent6 2 2 3 2 4 4" xfId="20296" xr:uid="{00000000-0005-0000-0000-000026170000}"/>
    <cellStyle name="20% - Accent6 2 2 3 2 5" xfId="5306" xr:uid="{00000000-0005-0000-0000-000027170000}"/>
    <cellStyle name="20% - Accent6 2 2 3 2 5 2" xfId="5307" xr:uid="{00000000-0005-0000-0000-000028170000}"/>
    <cellStyle name="20% - Accent6 2 2 3 2 5 3" xfId="21589" xr:uid="{00000000-0005-0000-0000-000029170000}"/>
    <cellStyle name="20% - Accent6 2 2 3 2 6" xfId="5308" xr:uid="{00000000-0005-0000-0000-00002A170000}"/>
    <cellStyle name="20% - Accent6 2 2 3 2 7" xfId="18995" xr:uid="{00000000-0005-0000-0000-00002B170000}"/>
    <cellStyle name="20% - Accent6 2 2 3 3" xfId="5309" xr:uid="{00000000-0005-0000-0000-00002C170000}"/>
    <cellStyle name="20% - Accent6 2 2 3 3 2" xfId="5310" xr:uid="{00000000-0005-0000-0000-00002D170000}"/>
    <cellStyle name="20% - Accent6 2 2 3 3 2 2" xfId="5311" xr:uid="{00000000-0005-0000-0000-00002E170000}"/>
    <cellStyle name="20% - Accent6 2 2 3 3 2 2 2" xfId="5312" xr:uid="{00000000-0005-0000-0000-00002F170000}"/>
    <cellStyle name="20% - Accent6 2 2 3 3 2 2 2 2" xfId="5313" xr:uid="{00000000-0005-0000-0000-000030170000}"/>
    <cellStyle name="20% - Accent6 2 2 3 3 2 2 2 3" xfId="23685" xr:uid="{00000000-0005-0000-0000-000031170000}"/>
    <cellStyle name="20% - Accent6 2 2 3 3 2 2 3" xfId="5314" xr:uid="{00000000-0005-0000-0000-000032170000}"/>
    <cellStyle name="20% - Accent6 2 2 3 3 2 2 4" xfId="21102" xr:uid="{00000000-0005-0000-0000-000033170000}"/>
    <cellStyle name="20% - Accent6 2 2 3 3 2 3" xfId="5315" xr:uid="{00000000-0005-0000-0000-000034170000}"/>
    <cellStyle name="20% - Accent6 2 2 3 3 2 3 2" xfId="5316" xr:uid="{00000000-0005-0000-0000-000035170000}"/>
    <cellStyle name="20% - Accent6 2 2 3 3 2 3 3" xfId="22395" xr:uid="{00000000-0005-0000-0000-000036170000}"/>
    <cellStyle name="20% - Accent6 2 2 3 3 2 4" xfId="5317" xr:uid="{00000000-0005-0000-0000-000037170000}"/>
    <cellStyle name="20% - Accent6 2 2 3 3 2 5" xfId="19808" xr:uid="{00000000-0005-0000-0000-000038170000}"/>
    <cellStyle name="20% - Accent6 2 2 3 3 3" xfId="5318" xr:uid="{00000000-0005-0000-0000-000039170000}"/>
    <cellStyle name="20% - Accent6 2 2 3 3 3 2" xfId="5319" xr:uid="{00000000-0005-0000-0000-00003A170000}"/>
    <cellStyle name="20% - Accent6 2 2 3 3 3 2 2" xfId="5320" xr:uid="{00000000-0005-0000-0000-00003B170000}"/>
    <cellStyle name="20% - Accent6 2 2 3 3 3 2 3" xfId="23040" xr:uid="{00000000-0005-0000-0000-00003C170000}"/>
    <cellStyle name="20% - Accent6 2 2 3 3 3 3" xfId="5321" xr:uid="{00000000-0005-0000-0000-00003D170000}"/>
    <cellStyle name="20% - Accent6 2 2 3 3 3 4" xfId="20457" xr:uid="{00000000-0005-0000-0000-00003E170000}"/>
    <cellStyle name="20% - Accent6 2 2 3 3 4" xfId="5322" xr:uid="{00000000-0005-0000-0000-00003F170000}"/>
    <cellStyle name="20% - Accent6 2 2 3 3 4 2" xfId="5323" xr:uid="{00000000-0005-0000-0000-000040170000}"/>
    <cellStyle name="20% - Accent6 2 2 3 3 4 3" xfId="21750" xr:uid="{00000000-0005-0000-0000-000041170000}"/>
    <cellStyle name="20% - Accent6 2 2 3 3 5" xfId="5324" xr:uid="{00000000-0005-0000-0000-000042170000}"/>
    <cellStyle name="20% - Accent6 2 2 3 3 6" xfId="19160" xr:uid="{00000000-0005-0000-0000-000043170000}"/>
    <cellStyle name="20% - Accent6 2 2 3 4" xfId="5325" xr:uid="{00000000-0005-0000-0000-000044170000}"/>
    <cellStyle name="20% - Accent6 2 2 3 4 2" xfId="5326" xr:uid="{00000000-0005-0000-0000-000045170000}"/>
    <cellStyle name="20% - Accent6 2 2 3 4 2 2" xfId="5327" xr:uid="{00000000-0005-0000-0000-000046170000}"/>
    <cellStyle name="20% - Accent6 2 2 3 4 2 2 2" xfId="5328" xr:uid="{00000000-0005-0000-0000-000047170000}"/>
    <cellStyle name="20% - Accent6 2 2 3 4 2 2 3" xfId="23363" xr:uid="{00000000-0005-0000-0000-000048170000}"/>
    <cellStyle name="20% - Accent6 2 2 3 4 2 3" xfId="5329" xr:uid="{00000000-0005-0000-0000-000049170000}"/>
    <cellStyle name="20% - Accent6 2 2 3 4 2 4" xfId="20780" xr:uid="{00000000-0005-0000-0000-00004A170000}"/>
    <cellStyle name="20% - Accent6 2 2 3 4 3" xfId="5330" xr:uid="{00000000-0005-0000-0000-00004B170000}"/>
    <cellStyle name="20% - Accent6 2 2 3 4 3 2" xfId="5331" xr:uid="{00000000-0005-0000-0000-00004C170000}"/>
    <cellStyle name="20% - Accent6 2 2 3 4 3 3" xfId="22073" xr:uid="{00000000-0005-0000-0000-00004D170000}"/>
    <cellStyle name="20% - Accent6 2 2 3 4 4" xfId="5332" xr:uid="{00000000-0005-0000-0000-00004E170000}"/>
    <cellStyle name="20% - Accent6 2 2 3 4 5" xfId="19486" xr:uid="{00000000-0005-0000-0000-00004F170000}"/>
    <cellStyle name="20% - Accent6 2 2 3 5" xfId="5333" xr:uid="{00000000-0005-0000-0000-000050170000}"/>
    <cellStyle name="20% - Accent6 2 2 3 5 2" xfId="5334" xr:uid="{00000000-0005-0000-0000-000051170000}"/>
    <cellStyle name="20% - Accent6 2 2 3 5 2 2" xfId="5335" xr:uid="{00000000-0005-0000-0000-000052170000}"/>
    <cellStyle name="20% - Accent6 2 2 3 5 2 3" xfId="22718" xr:uid="{00000000-0005-0000-0000-000053170000}"/>
    <cellStyle name="20% - Accent6 2 2 3 5 3" xfId="5336" xr:uid="{00000000-0005-0000-0000-000054170000}"/>
    <cellStyle name="20% - Accent6 2 2 3 5 4" xfId="20135" xr:uid="{00000000-0005-0000-0000-000055170000}"/>
    <cellStyle name="20% - Accent6 2 2 3 6" xfId="5337" xr:uid="{00000000-0005-0000-0000-000056170000}"/>
    <cellStyle name="20% - Accent6 2 2 3 6 2" xfId="5338" xr:uid="{00000000-0005-0000-0000-000057170000}"/>
    <cellStyle name="20% - Accent6 2 2 3 6 3" xfId="21428" xr:uid="{00000000-0005-0000-0000-000058170000}"/>
    <cellStyle name="20% - Accent6 2 2 3 7" xfId="5339" xr:uid="{00000000-0005-0000-0000-000059170000}"/>
    <cellStyle name="20% - Accent6 2 2 3 8" xfId="18829" xr:uid="{00000000-0005-0000-0000-00005A170000}"/>
    <cellStyle name="20% - Accent6 2 2 4" xfId="5340" xr:uid="{00000000-0005-0000-0000-00005B170000}"/>
    <cellStyle name="20% - Accent6 2 2 4 2" xfId="5341" xr:uid="{00000000-0005-0000-0000-00005C170000}"/>
    <cellStyle name="20% - Accent6 2 2 4 2 2" xfId="5342" xr:uid="{00000000-0005-0000-0000-00005D170000}"/>
    <cellStyle name="20% - Accent6 2 2 4 2 2 2" xfId="5343" xr:uid="{00000000-0005-0000-0000-00005E170000}"/>
    <cellStyle name="20% - Accent6 2 2 4 2 2 2 2" xfId="5344" xr:uid="{00000000-0005-0000-0000-00005F170000}"/>
    <cellStyle name="20% - Accent6 2 2 4 2 2 2 2 2" xfId="5345" xr:uid="{00000000-0005-0000-0000-000060170000}"/>
    <cellStyle name="20% - Accent6 2 2 4 2 2 2 2 3" xfId="23766" xr:uid="{00000000-0005-0000-0000-000061170000}"/>
    <cellStyle name="20% - Accent6 2 2 4 2 2 2 3" xfId="5346" xr:uid="{00000000-0005-0000-0000-000062170000}"/>
    <cellStyle name="20% - Accent6 2 2 4 2 2 2 4" xfId="21183" xr:uid="{00000000-0005-0000-0000-000063170000}"/>
    <cellStyle name="20% - Accent6 2 2 4 2 2 3" xfId="5347" xr:uid="{00000000-0005-0000-0000-000064170000}"/>
    <cellStyle name="20% - Accent6 2 2 4 2 2 3 2" xfId="5348" xr:uid="{00000000-0005-0000-0000-000065170000}"/>
    <cellStyle name="20% - Accent6 2 2 4 2 2 3 3" xfId="22476" xr:uid="{00000000-0005-0000-0000-000066170000}"/>
    <cellStyle name="20% - Accent6 2 2 4 2 2 4" xfId="5349" xr:uid="{00000000-0005-0000-0000-000067170000}"/>
    <cellStyle name="20% - Accent6 2 2 4 2 2 5" xfId="19889" xr:uid="{00000000-0005-0000-0000-000068170000}"/>
    <cellStyle name="20% - Accent6 2 2 4 2 3" xfId="5350" xr:uid="{00000000-0005-0000-0000-000069170000}"/>
    <cellStyle name="20% - Accent6 2 2 4 2 3 2" xfId="5351" xr:uid="{00000000-0005-0000-0000-00006A170000}"/>
    <cellStyle name="20% - Accent6 2 2 4 2 3 2 2" xfId="5352" xr:uid="{00000000-0005-0000-0000-00006B170000}"/>
    <cellStyle name="20% - Accent6 2 2 4 2 3 2 3" xfId="23121" xr:uid="{00000000-0005-0000-0000-00006C170000}"/>
    <cellStyle name="20% - Accent6 2 2 4 2 3 3" xfId="5353" xr:uid="{00000000-0005-0000-0000-00006D170000}"/>
    <cellStyle name="20% - Accent6 2 2 4 2 3 4" xfId="20538" xr:uid="{00000000-0005-0000-0000-00006E170000}"/>
    <cellStyle name="20% - Accent6 2 2 4 2 4" xfId="5354" xr:uid="{00000000-0005-0000-0000-00006F170000}"/>
    <cellStyle name="20% - Accent6 2 2 4 2 4 2" xfId="5355" xr:uid="{00000000-0005-0000-0000-000070170000}"/>
    <cellStyle name="20% - Accent6 2 2 4 2 4 3" xfId="21831" xr:uid="{00000000-0005-0000-0000-000071170000}"/>
    <cellStyle name="20% - Accent6 2 2 4 2 5" xfId="5356" xr:uid="{00000000-0005-0000-0000-000072170000}"/>
    <cellStyle name="20% - Accent6 2 2 4 2 6" xfId="19241" xr:uid="{00000000-0005-0000-0000-000073170000}"/>
    <cellStyle name="20% - Accent6 2 2 4 3" xfId="5357" xr:uid="{00000000-0005-0000-0000-000074170000}"/>
    <cellStyle name="20% - Accent6 2 2 4 3 2" xfId="5358" xr:uid="{00000000-0005-0000-0000-000075170000}"/>
    <cellStyle name="20% - Accent6 2 2 4 3 2 2" xfId="5359" xr:uid="{00000000-0005-0000-0000-000076170000}"/>
    <cellStyle name="20% - Accent6 2 2 4 3 2 2 2" xfId="5360" xr:uid="{00000000-0005-0000-0000-000077170000}"/>
    <cellStyle name="20% - Accent6 2 2 4 3 2 2 3" xfId="23444" xr:uid="{00000000-0005-0000-0000-000078170000}"/>
    <cellStyle name="20% - Accent6 2 2 4 3 2 3" xfId="5361" xr:uid="{00000000-0005-0000-0000-000079170000}"/>
    <cellStyle name="20% - Accent6 2 2 4 3 2 4" xfId="20861" xr:uid="{00000000-0005-0000-0000-00007A170000}"/>
    <cellStyle name="20% - Accent6 2 2 4 3 3" xfId="5362" xr:uid="{00000000-0005-0000-0000-00007B170000}"/>
    <cellStyle name="20% - Accent6 2 2 4 3 3 2" xfId="5363" xr:uid="{00000000-0005-0000-0000-00007C170000}"/>
    <cellStyle name="20% - Accent6 2 2 4 3 3 3" xfId="22154" xr:uid="{00000000-0005-0000-0000-00007D170000}"/>
    <cellStyle name="20% - Accent6 2 2 4 3 4" xfId="5364" xr:uid="{00000000-0005-0000-0000-00007E170000}"/>
    <cellStyle name="20% - Accent6 2 2 4 3 5" xfId="19567" xr:uid="{00000000-0005-0000-0000-00007F170000}"/>
    <cellStyle name="20% - Accent6 2 2 4 4" xfId="5365" xr:uid="{00000000-0005-0000-0000-000080170000}"/>
    <cellStyle name="20% - Accent6 2 2 4 4 2" xfId="5366" xr:uid="{00000000-0005-0000-0000-000081170000}"/>
    <cellStyle name="20% - Accent6 2 2 4 4 2 2" xfId="5367" xr:uid="{00000000-0005-0000-0000-000082170000}"/>
    <cellStyle name="20% - Accent6 2 2 4 4 2 3" xfId="22799" xr:uid="{00000000-0005-0000-0000-000083170000}"/>
    <cellStyle name="20% - Accent6 2 2 4 4 3" xfId="5368" xr:uid="{00000000-0005-0000-0000-000084170000}"/>
    <cellStyle name="20% - Accent6 2 2 4 4 4" xfId="20216" xr:uid="{00000000-0005-0000-0000-000085170000}"/>
    <cellStyle name="20% - Accent6 2 2 4 5" xfId="5369" xr:uid="{00000000-0005-0000-0000-000086170000}"/>
    <cellStyle name="20% - Accent6 2 2 4 5 2" xfId="5370" xr:uid="{00000000-0005-0000-0000-000087170000}"/>
    <cellStyle name="20% - Accent6 2 2 4 5 3" xfId="21509" xr:uid="{00000000-0005-0000-0000-000088170000}"/>
    <cellStyle name="20% - Accent6 2 2 4 6" xfId="5371" xr:uid="{00000000-0005-0000-0000-000089170000}"/>
    <cellStyle name="20% - Accent6 2 2 4 7" xfId="18915" xr:uid="{00000000-0005-0000-0000-00008A170000}"/>
    <cellStyle name="20% - Accent6 2 2 5" xfId="5372" xr:uid="{00000000-0005-0000-0000-00008B170000}"/>
    <cellStyle name="20% - Accent6 2 2 5 2" xfId="5373" xr:uid="{00000000-0005-0000-0000-00008C170000}"/>
    <cellStyle name="20% - Accent6 2 2 5 2 2" xfId="5374" xr:uid="{00000000-0005-0000-0000-00008D170000}"/>
    <cellStyle name="20% - Accent6 2 2 5 2 2 2" xfId="5375" xr:uid="{00000000-0005-0000-0000-00008E170000}"/>
    <cellStyle name="20% - Accent6 2 2 5 2 2 2 2" xfId="5376" xr:uid="{00000000-0005-0000-0000-00008F170000}"/>
    <cellStyle name="20% - Accent6 2 2 5 2 2 2 3" xfId="23605" xr:uid="{00000000-0005-0000-0000-000090170000}"/>
    <cellStyle name="20% - Accent6 2 2 5 2 2 3" xfId="5377" xr:uid="{00000000-0005-0000-0000-000091170000}"/>
    <cellStyle name="20% - Accent6 2 2 5 2 2 4" xfId="21022" xr:uid="{00000000-0005-0000-0000-000092170000}"/>
    <cellStyle name="20% - Accent6 2 2 5 2 3" xfId="5378" xr:uid="{00000000-0005-0000-0000-000093170000}"/>
    <cellStyle name="20% - Accent6 2 2 5 2 3 2" xfId="5379" xr:uid="{00000000-0005-0000-0000-000094170000}"/>
    <cellStyle name="20% - Accent6 2 2 5 2 3 3" xfId="22315" xr:uid="{00000000-0005-0000-0000-000095170000}"/>
    <cellStyle name="20% - Accent6 2 2 5 2 4" xfId="5380" xr:uid="{00000000-0005-0000-0000-000096170000}"/>
    <cellStyle name="20% - Accent6 2 2 5 2 5" xfId="19728" xr:uid="{00000000-0005-0000-0000-000097170000}"/>
    <cellStyle name="20% - Accent6 2 2 5 3" xfId="5381" xr:uid="{00000000-0005-0000-0000-000098170000}"/>
    <cellStyle name="20% - Accent6 2 2 5 3 2" xfId="5382" xr:uid="{00000000-0005-0000-0000-000099170000}"/>
    <cellStyle name="20% - Accent6 2 2 5 3 2 2" xfId="5383" xr:uid="{00000000-0005-0000-0000-00009A170000}"/>
    <cellStyle name="20% - Accent6 2 2 5 3 2 3" xfId="22960" xr:uid="{00000000-0005-0000-0000-00009B170000}"/>
    <cellStyle name="20% - Accent6 2 2 5 3 3" xfId="5384" xr:uid="{00000000-0005-0000-0000-00009C170000}"/>
    <cellStyle name="20% - Accent6 2 2 5 3 4" xfId="20377" xr:uid="{00000000-0005-0000-0000-00009D170000}"/>
    <cellStyle name="20% - Accent6 2 2 5 4" xfId="5385" xr:uid="{00000000-0005-0000-0000-00009E170000}"/>
    <cellStyle name="20% - Accent6 2 2 5 4 2" xfId="5386" xr:uid="{00000000-0005-0000-0000-00009F170000}"/>
    <cellStyle name="20% - Accent6 2 2 5 4 3" xfId="21670" xr:uid="{00000000-0005-0000-0000-0000A0170000}"/>
    <cellStyle name="20% - Accent6 2 2 5 5" xfId="5387" xr:uid="{00000000-0005-0000-0000-0000A1170000}"/>
    <cellStyle name="20% - Accent6 2 2 5 6" xfId="19080" xr:uid="{00000000-0005-0000-0000-0000A2170000}"/>
    <cellStyle name="20% - Accent6 2 2 6" xfId="5388" xr:uid="{00000000-0005-0000-0000-0000A3170000}"/>
    <cellStyle name="20% - Accent6 2 2 6 2" xfId="5389" xr:uid="{00000000-0005-0000-0000-0000A4170000}"/>
    <cellStyle name="20% - Accent6 2 2 6 2 2" xfId="5390" xr:uid="{00000000-0005-0000-0000-0000A5170000}"/>
    <cellStyle name="20% - Accent6 2 2 6 2 2 2" xfId="5391" xr:uid="{00000000-0005-0000-0000-0000A6170000}"/>
    <cellStyle name="20% - Accent6 2 2 6 2 2 3" xfId="23282" xr:uid="{00000000-0005-0000-0000-0000A7170000}"/>
    <cellStyle name="20% - Accent6 2 2 6 2 3" xfId="5392" xr:uid="{00000000-0005-0000-0000-0000A8170000}"/>
    <cellStyle name="20% - Accent6 2 2 6 2 4" xfId="20699" xr:uid="{00000000-0005-0000-0000-0000A9170000}"/>
    <cellStyle name="20% - Accent6 2 2 6 3" xfId="5393" xr:uid="{00000000-0005-0000-0000-0000AA170000}"/>
    <cellStyle name="20% - Accent6 2 2 6 3 2" xfId="5394" xr:uid="{00000000-0005-0000-0000-0000AB170000}"/>
    <cellStyle name="20% - Accent6 2 2 6 3 3" xfId="21992" xr:uid="{00000000-0005-0000-0000-0000AC170000}"/>
    <cellStyle name="20% - Accent6 2 2 6 4" xfId="5395" xr:uid="{00000000-0005-0000-0000-0000AD170000}"/>
    <cellStyle name="20% - Accent6 2 2 6 5" xfId="19406" xr:uid="{00000000-0005-0000-0000-0000AE170000}"/>
    <cellStyle name="20% - Accent6 2 2 7" xfId="5396" xr:uid="{00000000-0005-0000-0000-0000AF170000}"/>
    <cellStyle name="20% - Accent6 2 2 7 2" xfId="5397" xr:uid="{00000000-0005-0000-0000-0000B0170000}"/>
    <cellStyle name="20% - Accent6 2 2 7 2 2" xfId="5398" xr:uid="{00000000-0005-0000-0000-0000B1170000}"/>
    <cellStyle name="20% - Accent6 2 2 7 2 3" xfId="22637" xr:uid="{00000000-0005-0000-0000-0000B2170000}"/>
    <cellStyle name="20% - Accent6 2 2 7 3" xfId="5399" xr:uid="{00000000-0005-0000-0000-0000B3170000}"/>
    <cellStyle name="20% - Accent6 2 2 7 4" xfId="20054" xr:uid="{00000000-0005-0000-0000-0000B4170000}"/>
    <cellStyle name="20% - Accent6 2 2 8" xfId="5400" xr:uid="{00000000-0005-0000-0000-0000B5170000}"/>
    <cellStyle name="20% - Accent6 2 2 8 2" xfId="5401" xr:uid="{00000000-0005-0000-0000-0000B6170000}"/>
    <cellStyle name="20% - Accent6 2 2 8 3" xfId="21347" xr:uid="{00000000-0005-0000-0000-0000B7170000}"/>
    <cellStyle name="20% - Accent6 2 2 9" xfId="5402" xr:uid="{00000000-0005-0000-0000-0000B8170000}"/>
    <cellStyle name="20% - Accent6 2 3" xfId="5403" xr:uid="{00000000-0005-0000-0000-0000B9170000}"/>
    <cellStyle name="20% - Accent6 2 3 2" xfId="5404" xr:uid="{00000000-0005-0000-0000-0000BA170000}"/>
    <cellStyle name="20% - Accent6 2 3 2 2" xfId="5405" xr:uid="{00000000-0005-0000-0000-0000BB170000}"/>
    <cellStyle name="20% - Accent6 2 3 2 2 2" xfId="5406" xr:uid="{00000000-0005-0000-0000-0000BC170000}"/>
    <cellStyle name="20% - Accent6 2 3 2 2 2 2" xfId="5407" xr:uid="{00000000-0005-0000-0000-0000BD170000}"/>
    <cellStyle name="20% - Accent6 2 3 2 2 2 2 2" xfId="5408" xr:uid="{00000000-0005-0000-0000-0000BE170000}"/>
    <cellStyle name="20% - Accent6 2 3 2 2 2 2 2 2" xfId="5409" xr:uid="{00000000-0005-0000-0000-0000BF170000}"/>
    <cellStyle name="20% - Accent6 2 3 2 2 2 2 2 2 2" xfId="5410" xr:uid="{00000000-0005-0000-0000-0000C0170000}"/>
    <cellStyle name="20% - Accent6 2 3 2 2 2 2 2 2 3" xfId="23866" xr:uid="{00000000-0005-0000-0000-0000C1170000}"/>
    <cellStyle name="20% - Accent6 2 3 2 2 2 2 2 3" xfId="5411" xr:uid="{00000000-0005-0000-0000-0000C2170000}"/>
    <cellStyle name="20% - Accent6 2 3 2 2 2 2 2 4" xfId="21283" xr:uid="{00000000-0005-0000-0000-0000C3170000}"/>
    <cellStyle name="20% - Accent6 2 3 2 2 2 2 3" xfId="5412" xr:uid="{00000000-0005-0000-0000-0000C4170000}"/>
    <cellStyle name="20% - Accent6 2 3 2 2 2 2 3 2" xfId="5413" xr:uid="{00000000-0005-0000-0000-0000C5170000}"/>
    <cellStyle name="20% - Accent6 2 3 2 2 2 2 3 3" xfId="22576" xr:uid="{00000000-0005-0000-0000-0000C6170000}"/>
    <cellStyle name="20% - Accent6 2 3 2 2 2 2 4" xfId="5414" xr:uid="{00000000-0005-0000-0000-0000C7170000}"/>
    <cellStyle name="20% - Accent6 2 3 2 2 2 2 5" xfId="19989" xr:uid="{00000000-0005-0000-0000-0000C8170000}"/>
    <cellStyle name="20% - Accent6 2 3 2 2 2 3" xfId="5415" xr:uid="{00000000-0005-0000-0000-0000C9170000}"/>
    <cellStyle name="20% - Accent6 2 3 2 2 2 3 2" xfId="5416" xr:uid="{00000000-0005-0000-0000-0000CA170000}"/>
    <cellStyle name="20% - Accent6 2 3 2 2 2 3 2 2" xfId="5417" xr:uid="{00000000-0005-0000-0000-0000CB170000}"/>
    <cellStyle name="20% - Accent6 2 3 2 2 2 3 2 3" xfId="23221" xr:uid="{00000000-0005-0000-0000-0000CC170000}"/>
    <cellStyle name="20% - Accent6 2 3 2 2 2 3 3" xfId="5418" xr:uid="{00000000-0005-0000-0000-0000CD170000}"/>
    <cellStyle name="20% - Accent6 2 3 2 2 2 3 4" xfId="20638" xr:uid="{00000000-0005-0000-0000-0000CE170000}"/>
    <cellStyle name="20% - Accent6 2 3 2 2 2 4" xfId="5419" xr:uid="{00000000-0005-0000-0000-0000CF170000}"/>
    <cellStyle name="20% - Accent6 2 3 2 2 2 4 2" xfId="5420" xr:uid="{00000000-0005-0000-0000-0000D0170000}"/>
    <cellStyle name="20% - Accent6 2 3 2 2 2 4 3" xfId="21931" xr:uid="{00000000-0005-0000-0000-0000D1170000}"/>
    <cellStyle name="20% - Accent6 2 3 2 2 2 5" xfId="5421" xr:uid="{00000000-0005-0000-0000-0000D2170000}"/>
    <cellStyle name="20% - Accent6 2 3 2 2 2 6" xfId="19341" xr:uid="{00000000-0005-0000-0000-0000D3170000}"/>
    <cellStyle name="20% - Accent6 2 3 2 2 3" xfId="5422" xr:uid="{00000000-0005-0000-0000-0000D4170000}"/>
    <cellStyle name="20% - Accent6 2 3 2 2 3 2" xfId="5423" xr:uid="{00000000-0005-0000-0000-0000D5170000}"/>
    <cellStyle name="20% - Accent6 2 3 2 2 3 2 2" xfId="5424" xr:uid="{00000000-0005-0000-0000-0000D6170000}"/>
    <cellStyle name="20% - Accent6 2 3 2 2 3 2 2 2" xfId="5425" xr:uid="{00000000-0005-0000-0000-0000D7170000}"/>
    <cellStyle name="20% - Accent6 2 3 2 2 3 2 2 3" xfId="23544" xr:uid="{00000000-0005-0000-0000-0000D8170000}"/>
    <cellStyle name="20% - Accent6 2 3 2 2 3 2 3" xfId="5426" xr:uid="{00000000-0005-0000-0000-0000D9170000}"/>
    <cellStyle name="20% - Accent6 2 3 2 2 3 2 4" xfId="20961" xr:uid="{00000000-0005-0000-0000-0000DA170000}"/>
    <cellStyle name="20% - Accent6 2 3 2 2 3 3" xfId="5427" xr:uid="{00000000-0005-0000-0000-0000DB170000}"/>
    <cellStyle name="20% - Accent6 2 3 2 2 3 3 2" xfId="5428" xr:uid="{00000000-0005-0000-0000-0000DC170000}"/>
    <cellStyle name="20% - Accent6 2 3 2 2 3 3 3" xfId="22254" xr:uid="{00000000-0005-0000-0000-0000DD170000}"/>
    <cellStyle name="20% - Accent6 2 3 2 2 3 4" xfId="5429" xr:uid="{00000000-0005-0000-0000-0000DE170000}"/>
    <cellStyle name="20% - Accent6 2 3 2 2 3 5" xfId="19667" xr:uid="{00000000-0005-0000-0000-0000DF170000}"/>
    <cellStyle name="20% - Accent6 2 3 2 2 4" xfId="5430" xr:uid="{00000000-0005-0000-0000-0000E0170000}"/>
    <cellStyle name="20% - Accent6 2 3 2 2 4 2" xfId="5431" xr:uid="{00000000-0005-0000-0000-0000E1170000}"/>
    <cellStyle name="20% - Accent6 2 3 2 2 4 2 2" xfId="5432" xr:uid="{00000000-0005-0000-0000-0000E2170000}"/>
    <cellStyle name="20% - Accent6 2 3 2 2 4 2 3" xfId="22899" xr:uid="{00000000-0005-0000-0000-0000E3170000}"/>
    <cellStyle name="20% - Accent6 2 3 2 2 4 3" xfId="5433" xr:uid="{00000000-0005-0000-0000-0000E4170000}"/>
    <cellStyle name="20% - Accent6 2 3 2 2 4 4" xfId="20316" xr:uid="{00000000-0005-0000-0000-0000E5170000}"/>
    <cellStyle name="20% - Accent6 2 3 2 2 5" xfId="5434" xr:uid="{00000000-0005-0000-0000-0000E6170000}"/>
    <cellStyle name="20% - Accent6 2 3 2 2 5 2" xfId="5435" xr:uid="{00000000-0005-0000-0000-0000E7170000}"/>
    <cellStyle name="20% - Accent6 2 3 2 2 5 3" xfId="21609" xr:uid="{00000000-0005-0000-0000-0000E8170000}"/>
    <cellStyle name="20% - Accent6 2 3 2 2 6" xfId="5436" xr:uid="{00000000-0005-0000-0000-0000E9170000}"/>
    <cellStyle name="20% - Accent6 2 3 2 2 7" xfId="19015" xr:uid="{00000000-0005-0000-0000-0000EA170000}"/>
    <cellStyle name="20% - Accent6 2 3 2 3" xfId="5437" xr:uid="{00000000-0005-0000-0000-0000EB170000}"/>
    <cellStyle name="20% - Accent6 2 3 2 3 2" xfId="5438" xr:uid="{00000000-0005-0000-0000-0000EC170000}"/>
    <cellStyle name="20% - Accent6 2 3 2 3 2 2" xfId="5439" xr:uid="{00000000-0005-0000-0000-0000ED170000}"/>
    <cellStyle name="20% - Accent6 2 3 2 3 2 2 2" xfId="5440" xr:uid="{00000000-0005-0000-0000-0000EE170000}"/>
    <cellStyle name="20% - Accent6 2 3 2 3 2 2 2 2" xfId="5441" xr:uid="{00000000-0005-0000-0000-0000EF170000}"/>
    <cellStyle name="20% - Accent6 2 3 2 3 2 2 2 3" xfId="23705" xr:uid="{00000000-0005-0000-0000-0000F0170000}"/>
    <cellStyle name="20% - Accent6 2 3 2 3 2 2 3" xfId="5442" xr:uid="{00000000-0005-0000-0000-0000F1170000}"/>
    <cellStyle name="20% - Accent6 2 3 2 3 2 2 4" xfId="21122" xr:uid="{00000000-0005-0000-0000-0000F2170000}"/>
    <cellStyle name="20% - Accent6 2 3 2 3 2 3" xfId="5443" xr:uid="{00000000-0005-0000-0000-0000F3170000}"/>
    <cellStyle name="20% - Accent6 2 3 2 3 2 3 2" xfId="5444" xr:uid="{00000000-0005-0000-0000-0000F4170000}"/>
    <cellStyle name="20% - Accent6 2 3 2 3 2 3 3" xfId="22415" xr:uid="{00000000-0005-0000-0000-0000F5170000}"/>
    <cellStyle name="20% - Accent6 2 3 2 3 2 4" xfId="5445" xr:uid="{00000000-0005-0000-0000-0000F6170000}"/>
    <cellStyle name="20% - Accent6 2 3 2 3 2 5" xfId="19828" xr:uid="{00000000-0005-0000-0000-0000F7170000}"/>
    <cellStyle name="20% - Accent6 2 3 2 3 3" xfId="5446" xr:uid="{00000000-0005-0000-0000-0000F8170000}"/>
    <cellStyle name="20% - Accent6 2 3 2 3 3 2" xfId="5447" xr:uid="{00000000-0005-0000-0000-0000F9170000}"/>
    <cellStyle name="20% - Accent6 2 3 2 3 3 2 2" xfId="5448" xr:uid="{00000000-0005-0000-0000-0000FA170000}"/>
    <cellStyle name="20% - Accent6 2 3 2 3 3 2 3" xfId="23060" xr:uid="{00000000-0005-0000-0000-0000FB170000}"/>
    <cellStyle name="20% - Accent6 2 3 2 3 3 3" xfId="5449" xr:uid="{00000000-0005-0000-0000-0000FC170000}"/>
    <cellStyle name="20% - Accent6 2 3 2 3 3 4" xfId="20477" xr:uid="{00000000-0005-0000-0000-0000FD170000}"/>
    <cellStyle name="20% - Accent6 2 3 2 3 4" xfId="5450" xr:uid="{00000000-0005-0000-0000-0000FE170000}"/>
    <cellStyle name="20% - Accent6 2 3 2 3 4 2" xfId="5451" xr:uid="{00000000-0005-0000-0000-0000FF170000}"/>
    <cellStyle name="20% - Accent6 2 3 2 3 4 3" xfId="21770" xr:uid="{00000000-0005-0000-0000-000000180000}"/>
    <cellStyle name="20% - Accent6 2 3 2 3 5" xfId="5452" xr:uid="{00000000-0005-0000-0000-000001180000}"/>
    <cellStyle name="20% - Accent6 2 3 2 3 6" xfId="19180" xr:uid="{00000000-0005-0000-0000-000002180000}"/>
    <cellStyle name="20% - Accent6 2 3 2 4" xfId="5453" xr:uid="{00000000-0005-0000-0000-000003180000}"/>
    <cellStyle name="20% - Accent6 2 3 2 4 2" xfId="5454" xr:uid="{00000000-0005-0000-0000-000004180000}"/>
    <cellStyle name="20% - Accent6 2 3 2 4 2 2" xfId="5455" xr:uid="{00000000-0005-0000-0000-000005180000}"/>
    <cellStyle name="20% - Accent6 2 3 2 4 2 2 2" xfId="5456" xr:uid="{00000000-0005-0000-0000-000006180000}"/>
    <cellStyle name="20% - Accent6 2 3 2 4 2 2 3" xfId="23383" xr:uid="{00000000-0005-0000-0000-000007180000}"/>
    <cellStyle name="20% - Accent6 2 3 2 4 2 3" xfId="5457" xr:uid="{00000000-0005-0000-0000-000008180000}"/>
    <cellStyle name="20% - Accent6 2 3 2 4 2 4" xfId="20800" xr:uid="{00000000-0005-0000-0000-000009180000}"/>
    <cellStyle name="20% - Accent6 2 3 2 4 3" xfId="5458" xr:uid="{00000000-0005-0000-0000-00000A180000}"/>
    <cellStyle name="20% - Accent6 2 3 2 4 3 2" xfId="5459" xr:uid="{00000000-0005-0000-0000-00000B180000}"/>
    <cellStyle name="20% - Accent6 2 3 2 4 3 3" xfId="22093" xr:uid="{00000000-0005-0000-0000-00000C180000}"/>
    <cellStyle name="20% - Accent6 2 3 2 4 4" xfId="5460" xr:uid="{00000000-0005-0000-0000-00000D180000}"/>
    <cellStyle name="20% - Accent6 2 3 2 4 5" xfId="19506" xr:uid="{00000000-0005-0000-0000-00000E180000}"/>
    <cellStyle name="20% - Accent6 2 3 2 5" xfId="5461" xr:uid="{00000000-0005-0000-0000-00000F180000}"/>
    <cellStyle name="20% - Accent6 2 3 2 5 2" xfId="5462" xr:uid="{00000000-0005-0000-0000-000010180000}"/>
    <cellStyle name="20% - Accent6 2 3 2 5 2 2" xfId="5463" xr:uid="{00000000-0005-0000-0000-000011180000}"/>
    <cellStyle name="20% - Accent6 2 3 2 5 2 3" xfId="22738" xr:uid="{00000000-0005-0000-0000-000012180000}"/>
    <cellStyle name="20% - Accent6 2 3 2 5 3" xfId="5464" xr:uid="{00000000-0005-0000-0000-000013180000}"/>
    <cellStyle name="20% - Accent6 2 3 2 5 4" xfId="20155" xr:uid="{00000000-0005-0000-0000-000014180000}"/>
    <cellStyle name="20% - Accent6 2 3 2 6" xfId="5465" xr:uid="{00000000-0005-0000-0000-000015180000}"/>
    <cellStyle name="20% - Accent6 2 3 2 6 2" xfId="5466" xr:uid="{00000000-0005-0000-0000-000016180000}"/>
    <cellStyle name="20% - Accent6 2 3 2 6 3" xfId="21448" xr:uid="{00000000-0005-0000-0000-000017180000}"/>
    <cellStyle name="20% - Accent6 2 3 2 7" xfId="5467" xr:uid="{00000000-0005-0000-0000-000018180000}"/>
    <cellStyle name="20% - Accent6 2 3 2 8" xfId="18850" xr:uid="{00000000-0005-0000-0000-000019180000}"/>
    <cellStyle name="20% - Accent6 2 3 3" xfId="5468" xr:uid="{00000000-0005-0000-0000-00001A180000}"/>
    <cellStyle name="20% - Accent6 2 3 3 2" xfId="5469" xr:uid="{00000000-0005-0000-0000-00001B180000}"/>
    <cellStyle name="20% - Accent6 2 3 3 2 2" xfId="5470" xr:uid="{00000000-0005-0000-0000-00001C180000}"/>
    <cellStyle name="20% - Accent6 2 3 3 2 2 2" xfId="5471" xr:uid="{00000000-0005-0000-0000-00001D180000}"/>
    <cellStyle name="20% - Accent6 2 3 3 2 2 2 2" xfId="5472" xr:uid="{00000000-0005-0000-0000-00001E180000}"/>
    <cellStyle name="20% - Accent6 2 3 3 2 2 2 2 2" xfId="5473" xr:uid="{00000000-0005-0000-0000-00001F180000}"/>
    <cellStyle name="20% - Accent6 2 3 3 2 2 2 2 3" xfId="23786" xr:uid="{00000000-0005-0000-0000-000020180000}"/>
    <cellStyle name="20% - Accent6 2 3 3 2 2 2 3" xfId="5474" xr:uid="{00000000-0005-0000-0000-000021180000}"/>
    <cellStyle name="20% - Accent6 2 3 3 2 2 2 4" xfId="21203" xr:uid="{00000000-0005-0000-0000-000022180000}"/>
    <cellStyle name="20% - Accent6 2 3 3 2 2 3" xfId="5475" xr:uid="{00000000-0005-0000-0000-000023180000}"/>
    <cellStyle name="20% - Accent6 2 3 3 2 2 3 2" xfId="5476" xr:uid="{00000000-0005-0000-0000-000024180000}"/>
    <cellStyle name="20% - Accent6 2 3 3 2 2 3 3" xfId="22496" xr:uid="{00000000-0005-0000-0000-000025180000}"/>
    <cellStyle name="20% - Accent6 2 3 3 2 2 4" xfId="5477" xr:uid="{00000000-0005-0000-0000-000026180000}"/>
    <cellStyle name="20% - Accent6 2 3 3 2 2 5" xfId="19909" xr:uid="{00000000-0005-0000-0000-000027180000}"/>
    <cellStyle name="20% - Accent6 2 3 3 2 3" xfId="5478" xr:uid="{00000000-0005-0000-0000-000028180000}"/>
    <cellStyle name="20% - Accent6 2 3 3 2 3 2" xfId="5479" xr:uid="{00000000-0005-0000-0000-000029180000}"/>
    <cellStyle name="20% - Accent6 2 3 3 2 3 2 2" xfId="5480" xr:uid="{00000000-0005-0000-0000-00002A180000}"/>
    <cellStyle name="20% - Accent6 2 3 3 2 3 2 3" xfId="23141" xr:uid="{00000000-0005-0000-0000-00002B180000}"/>
    <cellStyle name="20% - Accent6 2 3 3 2 3 3" xfId="5481" xr:uid="{00000000-0005-0000-0000-00002C180000}"/>
    <cellStyle name="20% - Accent6 2 3 3 2 3 4" xfId="20558" xr:uid="{00000000-0005-0000-0000-00002D180000}"/>
    <cellStyle name="20% - Accent6 2 3 3 2 4" xfId="5482" xr:uid="{00000000-0005-0000-0000-00002E180000}"/>
    <cellStyle name="20% - Accent6 2 3 3 2 4 2" xfId="5483" xr:uid="{00000000-0005-0000-0000-00002F180000}"/>
    <cellStyle name="20% - Accent6 2 3 3 2 4 3" xfId="21851" xr:uid="{00000000-0005-0000-0000-000030180000}"/>
    <cellStyle name="20% - Accent6 2 3 3 2 5" xfId="5484" xr:uid="{00000000-0005-0000-0000-000031180000}"/>
    <cellStyle name="20% - Accent6 2 3 3 2 6" xfId="19261" xr:uid="{00000000-0005-0000-0000-000032180000}"/>
    <cellStyle name="20% - Accent6 2 3 3 3" xfId="5485" xr:uid="{00000000-0005-0000-0000-000033180000}"/>
    <cellStyle name="20% - Accent6 2 3 3 3 2" xfId="5486" xr:uid="{00000000-0005-0000-0000-000034180000}"/>
    <cellStyle name="20% - Accent6 2 3 3 3 2 2" xfId="5487" xr:uid="{00000000-0005-0000-0000-000035180000}"/>
    <cellStyle name="20% - Accent6 2 3 3 3 2 2 2" xfId="5488" xr:uid="{00000000-0005-0000-0000-000036180000}"/>
    <cellStyle name="20% - Accent6 2 3 3 3 2 2 3" xfId="23464" xr:uid="{00000000-0005-0000-0000-000037180000}"/>
    <cellStyle name="20% - Accent6 2 3 3 3 2 3" xfId="5489" xr:uid="{00000000-0005-0000-0000-000038180000}"/>
    <cellStyle name="20% - Accent6 2 3 3 3 2 4" xfId="20881" xr:uid="{00000000-0005-0000-0000-000039180000}"/>
    <cellStyle name="20% - Accent6 2 3 3 3 3" xfId="5490" xr:uid="{00000000-0005-0000-0000-00003A180000}"/>
    <cellStyle name="20% - Accent6 2 3 3 3 3 2" xfId="5491" xr:uid="{00000000-0005-0000-0000-00003B180000}"/>
    <cellStyle name="20% - Accent6 2 3 3 3 3 3" xfId="22174" xr:uid="{00000000-0005-0000-0000-00003C180000}"/>
    <cellStyle name="20% - Accent6 2 3 3 3 4" xfId="5492" xr:uid="{00000000-0005-0000-0000-00003D180000}"/>
    <cellStyle name="20% - Accent6 2 3 3 3 5" xfId="19587" xr:uid="{00000000-0005-0000-0000-00003E180000}"/>
    <cellStyle name="20% - Accent6 2 3 3 4" xfId="5493" xr:uid="{00000000-0005-0000-0000-00003F180000}"/>
    <cellStyle name="20% - Accent6 2 3 3 4 2" xfId="5494" xr:uid="{00000000-0005-0000-0000-000040180000}"/>
    <cellStyle name="20% - Accent6 2 3 3 4 2 2" xfId="5495" xr:uid="{00000000-0005-0000-0000-000041180000}"/>
    <cellStyle name="20% - Accent6 2 3 3 4 2 3" xfId="22819" xr:uid="{00000000-0005-0000-0000-000042180000}"/>
    <cellStyle name="20% - Accent6 2 3 3 4 3" xfId="5496" xr:uid="{00000000-0005-0000-0000-000043180000}"/>
    <cellStyle name="20% - Accent6 2 3 3 4 4" xfId="20236" xr:uid="{00000000-0005-0000-0000-000044180000}"/>
    <cellStyle name="20% - Accent6 2 3 3 5" xfId="5497" xr:uid="{00000000-0005-0000-0000-000045180000}"/>
    <cellStyle name="20% - Accent6 2 3 3 5 2" xfId="5498" xr:uid="{00000000-0005-0000-0000-000046180000}"/>
    <cellStyle name="20% - Accent6 2 3 3 5 3" xfId="21529" xr:uid="{00000000-0005-0000-0000-000047180000}"/>
    <cellStyle name="20% - Accent6 2 3 3 6" xfId="5499" xr:uid="{00000000-0005-0000-0000-000048180000}"/>
    <cellStyle name="20% - Accent6 2 3 3 7" xfId="18935" xr:uid="{00000000-0005-0000-0000-000049180000}"/>
    <cellStyle name="20% - Accent6 2 3 4" xfId="5500" xr:uid="{00000000-0005-0000-0000-00004A180000}"/>
    <cellStyle name="20% - Accent6 2 3 4 2" xfId="5501" xr:uid="{00000000-0005-0000-0000-00004B180000}"/>
    <cellStyle name="20% - Accent6 2 3 4 2 2" xfId="5502" xr:uid="{00000000-0005-0000-0000-00004C180000}"/>
    <cellStyle name="20% - Accent6 2 3 4 2 2 2" xfId="5503" xr:uid="{00000000-0005-0000-0000-00004D180000}"/>
    <cellStyle name="20% - Accent6 2 3 4 2 2 2 2" xfId="5504" xr:uid="{00000000-0005-0000-0000-00004E180000}"/>
    <cellStyle name="20% - Accent6 2 3 4 2 2 2 3" xfId="23625" xr:uid="{00000000-0005-0000-0000-00004F180000}"/>
    <cellStyle name="20% - Accent6 2 3 4 2 2 3" xfId="5505" xr:uid="{00000000-0005-0000-0000-000050180000}"/>
    <cellStyle name="20% - Accent6 2 3 4 2 2 4" xfId="21042" xr:uid="{00000000-0005-0000-0000-000051180000}"/>
    <cellStyle name="20% - Accent6 2 3 4 2 3" xfId="5506" xr:uid="{00000000-0005-0000-0000-000052180000}"/>
    <cellStyle name="20% - Accent6 2 3 4 2 3 2" xfId="5507" xr:uid="{00000000-0005-0000-0000-000053180000}"/>
    <cellStyle name="20% - Accent6 2 3 4 2 3 3" xfId="22335" xr:uid="{00000000-0005-0000-0000-000054180000}"/>
    <cellStyle name="20% - Accent6 2 3 4 2 4" xfId="5508" xr:uid="{00000000-0005-0000-0000-000055180000}"/>
    <cellStyle name="20% - Accent6 2 3 4 2 5" xfId="19748" xr:uid="{00000000-0005-0000-0000-000056180000}"/>
    <cellStyle name="20% - Accent6 2 3 4 3" xfId="5509" xr:uid="{00000000-0005-0000-0000-000057180000}"/>
    <cellStyle name="20% - Accent6 2 3 4 3 2" xfId="5510" xr:uid="{00000000-0005-0000-0000-000058180000}"/>
    <cellStyle name="20% - Accent6 2 3 4 3 2 2" xfId="5511" xr:uid="{00000000-0005-0000-0000-000059180000}"/>
    <cellStyle name="20% - Accent6 2 3 4 3 2 3" xfId="22980" xr:uid="{00000000-0005-0000-0000-00005A180000}"/>
    <cellStyle name="20% - Accent6 2 3 4 3 3" xfId="5512" xr:uid="{00000000-0005-0000-0000-00005B180000}"/>
    <cellStyle name="20% - Accent6 2 3 4 3 4" xfId="20397" xr:uid="{00000000-0005-0000-0000-00005C180000}"/>
    <cellStyle name="20% - Accent6 2 3 4 4" xfId="5513" xr:uid="{00000000-0005-0000-0000-00005D180000}"/>
    <cellStyle name="20% - Accent6 2 3 4 4 2" xfId="5514" xr:uid="{00000000-0005-0000-0000-00005E180000}"/>
    <cellStyle name="20% - Accent6 2 3 4 4 3" xfId="21690" xr:uid="{00000000-0005-0000-0000-00005F180000}"/>
    <cellStyle name="20% - Accent6 2 3 4 5" xfId="5515" xr:uid="{00000000-0005-0000-0000-000060180000}"/>
    <cellStyle name="20% - Accent6 2 3 4 6" xfId="19100" xr:uid="{00000000-0005-0000-0000-000061180000}"/>
    <cellStyle name="20% - Accent6 2 3 5" xfId="5516" xr:uid="{00000000-0005-0000-0000-000062180000}"/>
    <cellStyle name="20% - Accent6 2 3 5 2" xfId="5517" xr:uid="{00000000-0005-0000-0000-000063180000}"/>
    <cellStyle name="20% - Accent6 2 3 5 2 2" xfId="5518" xr:uid="{00000000-0005-0000-0000-000064180000}"/>
    <cellStyle name="20% - Accent6 2 3 5 2 2 2" xfId="5519" xr:uid="{00000000-0005-0000-0000-000065180000}"/>
    <cellStyle name="20% - Accent6 2 3 5 2 2 3" xfId="23302" xr:uid="{00000000-0005-0000-0000-000066180000}"/>
    <cellStyle name="20% - Accent6 2 3 5 2 3" xfId="5520" xr:uid="{00000000-0005-0000-0000-000067180000}"/>
    <cellStyle name="20% - Accent6 2 3 5 2 4" xfId="20719" xr:uid="{00000000-0005-0000-0000-000068180000}"/>
    <cellStyle name="20% - Accent6 2 3 5 3" xfId="5521" xr:uid="{00000000-0005-0000-0000-000069180000}"/>
    <cellStyle name="20% - Accent6 2 3 5 3 2" xfId="5522" xr:uid="{00000000-0005-0000-0000-00006A180000}"/>
    <cellStyle name="20% - Accent6 2 3 5 3 3" xfId="22012" xr:uid="{00000000-0005-0000-0000-00006B180000}"/>
    <cellStyle name="20% - Accent6 2 3 5 4" xfId="5523" xr:uid="{00000000-0005-0000-0000-00006C180000}"/>
    <cellStyle name="20% - Accent6 2 3 5 5" xfId="19426" xr:uid="{00000000-0005-0000-0000-00006D180000}"/>
    <cellStyle name="20% - Accent6 2 3 6" xfId="5524" xr:uid="{00000000-0005-0000-0000-00006E180000}"/>
    <cellStyle name="20% - Accent6 2 3 6 2" xfId="5525" xr:uid="{00000000-0005-0000-0000-00006F180000}"/>
    <cellStyle name="20% - Accent6 2 3 6 2 2" xfId="5526" xr:uid="{00000000-0005-0000-0000-000070180000}"/>
    <cellStyle name="20% - Accent6 2 3 6 2 3" xfId="22657" xr:uid="{00000000-0005-0000-0000-000071180000}"/>
    <cellStyle name="20% - Accent6 2 3 6 3" xfId="5527" xr:uid="{00000000-0005-0000-0000-000072180000}"/>
    <cellStyle name="20% - Accent6 2 3 6 4" xfId="20074" xr:uid="{00000000-0005-0000-0000-000073180000}"/>
    <cellStyle name="20% - Accent6 2 3 7" xfId="5528" xr:uid="{00000000-0005-0000-0000-000074180000}"/>
    <cellStyle name="20% - Accent6 2 3 7 2" xfId="5529" xr:uid="{00000000-0005-0000-0000-000075180000}"/>
    <cellStyle name="20% - Accent6 2 3 7 3" xfId="21367" xr:uid="{00000000-0005-0000-0000-000076180000}"/>
    <cellStyle name="20% - Accent6 2 3 8" xfId="5530" xr:uid="{00000000-0005-0000-0000-000077180000}"/>
    <cellStyle name="20% - Accent6 2 3 9" xfId="18753" xr:uid="{00000000-0005-0000-0000-000078180000}"/>
    <cellStyle name="20% - Accent6 2 4" xfId="5531" xr:uid="{00000000-0005-0000-0000-000079180000}"/>
    <cellStyle name="20% - Accent6 2 4 2" xfId="5532" xr:uid="{00000000-0005-0000-0000-00007A180000}"/>
    <cellStyle name="20% - Accent6 2 4 2 2" xfId="5533" xr:uid="{00000000-0005-0000-0000-00007B180000}"/>
    <cellStyle name="20% - Accent6 2 4 2 2 2" xfId="5534" xr:uid="{00000000-0005-0000-0000-00007C180000}"/>
    <cellStyle name="20% - Accent6 2 4 2 2 2 2" xfId="5535" xr:uid="{00000000-0005-0000-0000-00007D180000}"/>
    <cellStyle name="20% - Accent6 2 4 2 2 2 2 2" xfId="5536" xr:uid="{00000000-0005-0000-0000-00007E180000}"/>
    <cellStyle name="20% - Accent6 2 4 2 2 2 2 2 2" xfId="5537" xr:uid="{00000000-0005-0000-0000-00007F180000}"/>
    <cellStyle name="20% - Accent6 2 4 2 2 2 2 2 3" xfId="23826" xr:uid="{00000000-0005-0000-0000-000080180000}"/>
    <cellStyle name="20% - Accent6 2 4 2 2 2 2 3" xfId="5538" xr:uid="{00000000-0005-0000-0000-000081180000}"/>
    <cellStyle name="20% - Accent6 2 4 2 2 2 2 4" xfId="21243" xr:uid="{00000000-0005-0000-0000-000082180000}"/>
    <cellStyle name="20% - Accent6 2 4 2 2 2 3" xfId="5539" xr:uid="{00000000-0005-0000-0000-000083180000}"/>
    <cellStyle name="20% - Accent6 2 4 2 2 2 3 2" xfId="5540" xr:uid="{00000000-0005-0000-0000-000084180000}"/>
    <cellStyle name="20% - Accent6 2 4 2 2 2 3 3" xfId="22536" xr:uid="{00000000-0005-0000-0000-000085180000}"/>
    <cellStyle name="20% - Accent6 2 4 2 2 2 4" xfId="5541" xr:uid="{00000000-0005-0000-0000-000086180000}"/>
    <cellStyle name="20% - Accent6 2 4 2 2 2 5" xfId="19949" xr:uid="{00000000-0005-0000-0000-000087180000}"/>
    <cellStyle name="20% - Accent6 2 4 2 2 3" xfId="5542" xr:uid="{00000000-0005-0000-0000-000088180000}"/>
    <cellStyle name="20% - Accent6 2 4 2 2 3 2" xfId="5543" xr:uid="{00000000-0005-0000-0000-000089180000}"/>
    <cellStyle name="20% - Accent6 2 4 2 2 3 2 2" xfId="5544" xr:uid="{00000000-0005-0000-0000-00008A180000}"/>
    <cellStyle name="20% - Accent6 2 4 2 2 3 2 3" xfId="23181" xr:uid="{00000000-0005-0000-0000-00008B180000}"/>
    <cellStyle name="20% - Accent6 2 4 2 2 3 3" xfId="5545" xr:uid="{00000000-0005-0000-0000-00008C180000}"/>
    <cellStyle name="20% - Accent6 2 4 2 2 3 4" xfId="20598" xr:uid="{00000000-0005-0000-0000-00008D180000}"/>
    <cellStyle name="20% - Accent6 2 4 2 2 4" xfId="5546" xr:uid="{00000000-0005-0000-0000-00008E180000}"/>
    <cellStyle name="20% - Accent6 2 4 2 2 4 2" xfId="5547" xr:uid="{00000000-0005-0000-0000-00008F180000}"/>
    <cellStyle name="20% - Accent6 2 4 2 2 4 3" xfId="21891" xr:uid="{00000000-0005-0000-0000-000090180000}"/>
    <cellStyle name="20% - Accent6 2 4 2 2 5" xfId="5548" xr:uid="{00000000-0005-0000-0000-000091180000}"/>
    <cellStyle name="20% - Accent6 2 4 2 2 6" xfId="19301" xr:uid="{00000000-0005-0000-0000-000092180000}"/>
    <cellStyle name="20% - Accent6 2 4 2 3" xfId="5549" xr:uid="{00000000-0005-0000-0000-000093180000}"/>
    <cellStyle name="20% - Accent6 2 4 2 3 2" xfId="5550" xr:uid="{00000000-0005-0000-0000-000094180000}"/>
    <cellStyle name="20% - Accent6 2 4 2 3 2 2" xfId="5551" xr:uid="{00000000-0005-0000-0000-000095180000}"/>
    <cellStyle name="20% - Accent6 2 4 2 3 2 2 2" xfId="5552" xr:uid="{00000000-0005-0000-0000-000096180000}"/>
    <cellStyle name="20% - Accent6 2 4 2 3 2 2 3" xfId="23504" xr:uid="{00000000-0005-0000-0000-000097180000}"/>
    <cellStyle name="20% - Accent6 2 4 2 3 2 3" xfId="5553" xr:uid="{00000000-0005-0000-0000-000098180000}"/>
    <cellStyle name="20% - Accent6 2 4 2 3 2 4" xfId="20921" xr:uid="{00000000-0005-0000-0000-000099180000}"/>
    <cellStyle name="20% - Accent6 2 4 2 3 3" xfId="5554" xr:uid="{00000000-0005-0000-0000-00009A180000}"/>
    <cellStyle name="20% - Accent6 2 4 2 3 3 2" xfId="5555" xr:uid="{00000000-0005-0000-0000-00009B180000}"/>
    <cellStyle name="20% - Accent6 2 4 2 3 3 3" xfId="22214" xr:uid="{00000000-0005-0000-0000-00009C180000}"/>
    <cellStyle name="20% - Accent6 2 4 2 3 4" xfId="5556" xr:uid="{00000000-0005-0000-0000-00009D180000}"/>
    <cellStyle name="20% - Accent6 2 4 2 3 5" xfId="19627" xr:uid="{00000000-0005-0000-0000-00009E180000}"/>
    <cellStyle name="20% - Accent6 2 4 2 4" xfId="5557" xr:uid="{00000000-0005-0000-0000-00009F180000}"/>
    <cellStyle name="20% - Accent6 2 4 2 4 2" xfId="5558" xr:uid="{00000000-0005-0000-0000-0000A0180000}"/>
    <cellStyle name="20% - Accent6 2 4 2 4 2 2" xfId="5559" xr:uid="{00000000-0005-0000-0000-0000A1180000}"/>
    <cellStyle name="20% - Accent6 2 4 2 4 2 3" xfId="22859" xr:uid="{00000000-0005-0000-0000-0000A2180000}"/>
    <cellStyle name="20% - Accent6 2 4 2 4 3" xfId="5560" xr:uid="{00000000-0005-0000-0000-0000A3180000}"/>
    <cellStyle name="20% - Accent6 2 4 2 4 4" xfId="20276" xr:uid="{00000000-0005-0000-0000-0000A4180000}"/>
    <cellStyle name="20% - Accent6 2 4 2 5" xfId="5561" xr:uid="{00000000-0005-0000-0000-0000A5180000}"/>
    <cellStyle name="20% - Accent6 2 4 2 5 2" xfId="5562" xr:uid="{00000000-0005-0000-0000-0000A6180000}"/>
    <cellStyle name="20% - Accent6 2 4 2 5 3" xfId="21569" xr:uid="{00000000-0005-0000-0000-0000A7180000}"/>
    <cellStyle name="20% - Accent6 2 4 2 6" xfId="5563" xr:uid="{00000000-0005-0000-0000-0000A8180000}"/>
    <cellStyle name="20% - Accent6 2 4 2 7" xfId="18975" xr:uid="{00000000-0005-0000-0000-0000A9180000}"/>
    <cellStyle name="20% - Accent6 2 4 3" xfId="5564" xr:uid="{00000000-0005-0000-0000-0000AA180000}"/>
    <cellStyle name="20% - Accent6 2 4 3 2" xfId="5565" xr:uid="{00000000-0005-0000-0000-0000AB180000}"/>
    <cellStyle name="20% - Accent6 2 4 3 2 2" xfId="5566" xr:uid="{00000000-0005-0000-0000-0000AC180000}"/>
    <cellStyle name="20% - Accent6 2 4 3 2 2 2" xfId="5567" xr:uid="{00000000-0005-0000-0000-0000AD180000}"/>
    <cellStyle name="20% - Accent6 2 4 3 2 2 2 2" xfId="5568" xr:uid="{00000000-0005-0000-0000-0000AE180000}"/>
    <cellStyle name="20% - Accent6 2 4 3 2 2 2 3" xfId="23665" xr:uid="{00000000-0005-0000-0000-0000AF180000}"/>
    <cellStyle name="20% - Accent6 2 4 3 2 2 3" xfId="5569" xr:uid="{00000000-0005-0000-0000-0000B0180000}"/>
    <cellStyle name="20% - Accent6 2 4 3 2 2 4" xfId="21082" xr:uid="{00000000-0005-0000-0000-0000B1180000}"/>
    <cellStyle name="20% - Accent6 2 4 3 2 3" xfId="5570" xr:uid="{00000000-0005-0000-0000-0000B2180000}"/>
    <cellStyle name="20% - Accent6 2 4 3 2 3 2" xfId="5571" xr:uid="{00000000-0005-0000-0000-0000B3180000}"/>
    <cellStyle name="20% - Accent6 2 4 3 2 3 3" xfId="22375" xr:uid="{00000000-0005-0000-0000-0000B4180000}"/>
    <cellStyle name="20% - Accent6 2 4 3 2 4" xfId="5572" xr:uid="{00000000-0005-0000-0000-0000B5180000}"/>
    <cellStyle name="20% - Accent6 2 4 3 2 5" xfId="19788" xr:uid="{00000000-0005-0000-0000-0000B6180000}"/>
    <cellStyle name="20% - Accent6 2 4 3 3" xfId="5573" xr:uid="{00000000-0005-0000-0000-0000B7180000}"/>
    <cellStyle name="20% - Accent6 2 4 3 3 2" xfId="5574" xr:uid="{00000000-0005-0000-0000-0000B8180000}"/>
    <cellStyle name="20% - Accent6 2 4 3 3 2 2" xfId="5575" xr:uid="{00000000-0005-0000-0000-0000B9180000}"/>
    <cellStyle name="20% - Accent6 2 4 3 3 2 3" xfId="23020" xr:uid="{00000000-0005-0000-0000-0000BA180000}"/>
    <cellStyle name="20% - Accent6 2 4 3 3 3" xfId="5576" xr:uid="{00000000-0005-0000-0000-0000BB180000}"/>
    <cellStyle name="20% - Accent6 2 4 3 3 4" xfId="20437" xr:uid="{00000000-0005-0000-0000-0000BC180000}"/>
    <cellStyle name="20% - Accent6 2 4 3 4" xfId="5577" xr:uid="{00000000-0005-0000-0000-0000BD180000}"/>
    <cellStyle name="20% - Accent6 2 4 3 4 2" xfId="5578" xr:uid="{00000000-0005-0000-0000-0000BE180000}"/>
    <cellStyle name="20% - Accent6 2 4 3 4 3" xfId="21730" xr:uid="{00000000-0005-0000-0000-0000BF180000}"/>
    <cellStyle name="20% - Accent6 2 4 3 5" xfId="5579" xr:uid="{00000000-0005-0000-0000-0000C0180000}"/>
    <cellStyle name="20% - Accent6 2 4 3 6" xfId="19140" xr:uid="{00000000-0005-0000-0000-0000C1180000}"/>
    <cellStyle name="20% - Accent6 2 4 4" xfId="5580" xr:uid="{00000000-0005-0000-0000-0000C2180000}"/>
    <cellStyle name="20% - Accent6 2 4 4 2" xfId="5581" xr:uid="{00000000-0005-0000-0000-0000C3180000}"/>
    <cellStyle name="20% - Accent6 2 4 4 2 2" xfId="5582" xr:uid="{00000000-0005-0000-0000-0000C4180000}"/>
    <cellStyle name="20% - Accent6 2 4 4 2 2 2" xfId="5583" xr:uid="{00000000-0005-0000-0000-0000C5180000}"/>
    <cellStyle name="20% - Accent6 2 4 4 2 2 3" xfId="23343" xr:uid="{00000000-0005-0000-0000-0000C6180000}"/>
    <cellStyle name="20% - Accent6 2 4 4 2 3" xfId="5584" xr:uid="{00000000-0005-0000-0000-0000C7180000}"/>
    <cellStyle name="20% - Accent6 2 4 4 2 4" xfId="20760" xr:uid="{00000000-0005-0000-0000-0000C8180000}"/>
    <cellStyle name="20% - Accent6 2 4 4 3" xfId="5585" xr:uid="{00000000-0005-0000-0000-0000C9180000}"/>
    <cellStyle name="20% - Accent6 2 4 4 3 2" xfId="5586" xr:uid="{00000000-0005-0000-0000-0000CA180000}"/>
    <cellStyle name="20% - Accent6 2 4 4 3 3" xfId="22053" xr:uid="{00000000-0005-0000-0000-0000CB180000}"/>
    <cellStyle name="20% - Accent6 2 4 4 4" xfId="5587" xr:uid="{00000000-0005-0000-0000-0000CC180000}"/>
    <cellStyle name="20% - Accent6 2 4 4 5" xfId="19466" xr:uid="{00000000-0005-0000-0000-0000CD180000}"/>
    <cellStyle name="20% - Accent6 2 4 5" xfId="5588" xr:uid="{00000000-0005-0000-0000-0000CE180000}"/>
    <cellStyle name="20% - Accent6 2 4 5 2" xfId="5589" xr:uid="{00000000-0005-0000-0000-0000CF180000}"/>
    <cellStyle name="20% - Accent6 2 4 5 2 2" xfId="5590" xr:uid="{00000000-0005-0000-0000-0000D0180000}"/>
    <cellStyle name="20% - Accent6 2 4 5 2 3" xfId="22698" xr:uid="{00000000-0005-0000-0000-0000D1180000}"/>
    <cellStyle name="20% - Accent6 2 4 5 3" xfId="5591" xr:uid="{00000000-0005-0000-0000-0000D2180000}"/>
    <cellStyle name="20% - Accent6 2 4 5 4" xfId="20115" xr:uid="{00000000-0005-0000-0000-0000D3180000}"/>
    <cellStyle name="20% - Accent6 2 4 6" xfId="5592" xr:uid="{00000000-0005-0000-0000-0000D4180000}"/>
    <cellStyle name="20% - Accent6 2 4 6 2" xfId="5593" xr:uid="{00000000-0005-0000-0000-0000D5180000}"/>
    <cellStyle name="20% - Accent6 2 4 6 3" xfId="21408" xr:uid="{00000000-0005-0000-0000-0000D6180000}"/>
    <cellStyle name="20% - Accent6 2 4 7" xfId="5594" xr:uid="{00000000-0005-0000-0000-0000D7180000}"/>
    <cellStyle name="20% - Accent6 2 4 8" xfId="18807" xr:uid="{00000000-0005-0000-0000-0000D8180000}"/>
    <cellStyle name="20% - Accent6 2 5" xfId="5595" xr:uid="{00000000-0005-0000-0000-0000D9180000}"/>
    <cellStyle name="20% - Accent6 2 5 2" xfId="5596" xr:uid="{00000000-0005-0000-0000-0000DA180000}"/>
    <cellStyle name="20% - Accent6 2 5 2 2" xfId="5597" xr:uid="{00000000-0005-0000-0000-0000DB180000}"/>
    <cellStyle name="20% - Accent6 2 5 2 2 2" xfId="5598" xr:uid="{00000000-0005-0000-0000-0000DC180000}"/>
    <cellStyle name="20% - Accent6 2 5 2 2 2 2" xfId="5599" xr:uid="{00000000-0005-0000-0000-0000DD180000}"/>
    <cellStyle name="20% - Accent6 2 5 2 2 2 2 2" xfId="5600" xr:uid="{00000000-0005-0000-0000-0000DE180000}"/>
    <cellStyle name="20% - Accent6 2 5 2 2 2 2 3" xfId="23746" xr:uid="{00000000-0005-0000-0000-0000DF180000}"/>
    <cellStyle name="20% - Accent6 2 5 2 2 2 3" xfId="5601" xr:uid="{00000000-0005-0000-0000-0000E0180000}"/>
    <cellStyle name="20% - Accent6 2 5 2 2 2 4" xfId="21163" xr:uid="{00000000-0005-0000-0000-0000E1180000}"/>
    <cellStyle name="20% - Accent6 2 5 2 2 3" xfId="5602" xr:uid="{00000000-0005-0000-0000-0000E2180000}"/>
    <cellStyle name="20% - Accent6 2 5 2 2 3 2" xfId="5603" xr:uid="{00000000-0005-0000-0000-0000E3180000}"/>
    <cellStyle name="20% - Accent6 2 5 2 2 3 3" xfId="22456" xr:uid="{00000000-0005-0000-0000-0000E4180000}"/>
    <cellStyle name="20% - Accent6 2 5 2 2 4" xfId="5604" xr:uid="{00000000-0005-0000-0000-0000E5180000}"/>
    <cellStyle name="20% - Accent6 2 5 2 2 5" xfId="19869" xr:uid="{00000000-0005-0000-0000-0000E6180000}"/>
    <cellStyle name="20% - Accent6 2 5 2 3" xfId="5605" xr:uid="{00000000-0005-0000-0000-0000E7180000}"/>
    <cellStyle name="20% - Accent6 2 5 2 3 2" xfId="5606" xr:uid="{00000000-0005-0000-0000-0000E8180000}"/>
    <cellStyle name="20% - Accent6 2 5 2 3 2 2" xfId="5607" xr:uid="{00000000-0005-0000-0000-0000E9180000}"/>
    <cellStyle name="20% - Accent6 2 5 2 3 2 3" xfId="23101" xr:uid="{00000000-0005-0000-0000-0000EA180000}"/>
    <cellStyle name="20% - Accent6 2 5 2 3 3" xfId="5608" xr:uid="{00000000-0005-0000-0000-0000EB180000}"/>
    <cellStyle name="20% - Accent6 2 5 2 3 4" xfId="20518" xr:uid="{00000000-0005-0000-0000-0000EC180000}"/>
    <cellStyle name="20% - Accent6 2 5 2 4" xfId="5609" xr:uid="{00000000-0005-0000-0000-0000ED180000}"/>
    <cellStyle name="20% - Accent6 2 5 2 4 2" xfId="5610" xr:uid="{00000000-0005-0000-0000-0000EE180000}"/>
    <cellStyle name="20% - Accent6 2 5 2 4 3" xfId="21811" xr:uid="{00000000-0005-0000-0000-0000EF180000}"/>
    <cellStyle name="20% - Accent6 2 5 2 5" xfId="5611" xr:uid="{00000000-0005-0000-0000-0000F0180000}"/>
    <cellStyle name="20% - Accent6 2 5 2 6" xfId="19221" xr:uid="{00000000-0005-0000-0000-0000F1180000}"/>
    <cellStyle name="20% - Accent6 2 5 3" xfId="5612" xr:uid="{00000000-0005-0000-0000-0000F2180000}"/>
    <cellStyle name="20% - Accent6 2 5 3 2" xfId="5613" xr:uid="{00000000-0005-0000-0000-0000F3180000}"/>
    <cellStyle name="20% - Accent6 2 5 3 2 2" xfId="5614" xr:uid="{00000000-0005-0000-0000-0000F4180000}"/>
    <cellStyle name="20% - Accent6 2 5 3 2 2 2" xfId="5615" xr:uid="{00000000-0005-0000-0000-0000F5180000}"/>
    <cellStyle name="20% - Accent6 2 5 3 2 2 3" xfId="23424" xr:uid="{00000000-0005-0000-0000-0000F6180000}"/>
    <cellStyle name="20% - Accent6 2 5 3 2 3" xfId="5616" xr:uid="{00000000-0005-0000-0000-0000F7180000}"/>
    <cellStyle name="20% - Accent6 2 5 3 2 4" xfId="20841" xr:uid="{00000000-0005-0000-0000-0000F8180000}"/>
    <cellStyle name="20% - Accent6 2 5 3 3" xfId="5617" xr:uid="{00000000-0005-0000-0000-0000F9180000}"/>
    <cellStyle name="20% - Accent6 2 5 3 3 2" xfId="5618" xr:uid="{00000000-0005-0000-0000-0000FA180000}"/>
    <cellStyle name="20% - Accent6 2 5 3 3 3" xfId="22134" xr:uid="{00000000-0005-0000-0000-0000FB180000}"/>
    <cellStyle name="20% - Accent6 2 5 3 4" xfId="5619" xr:uid="{00000000-0005-0000-0000-0000FC180000}"/>
    <cellStyle name="20% - Accent6 2 5 3 5" xfId="19547" xr:uid="{00000000-0005-0000-0000-0000FD180000}"/>
    <cellStyle name="20% - Accent6 2 5 4" xfId="5620" xr:uid="{00000000-0005-0000-0000-0000FE180000}"/>
    <cellStyle name="20% - Accent6 2 5 4 2" xfId="5621" xr:uid="{00000000-0005-0000-0000-0000FF180000}"/>
    <cellStyle name="20% - Accent6 2 5 4 2 2" xfId="5622" xr:uid="{00000000-0005-0000-0000-000000190000}"/>
    <cellStyle name="20% - Accent6 2 5 4 2 3" xfId="22779" xr:uid="{00000000-0005-0000-0000-000001190000}"/>
    <cellStyle name="20% - Accent6 2 5 4 3" xfId="5623" xr:uid="{00000000-0005-0000-0000-000002190000}"/>
    <cellStyle name="20% - Accent6 2 5 4 4" xfId="20196" xr:uid="{00000000-0005-0000-0000-000003190000}"/>
    <cellStyle name="20% - Accent6 2 5 5" xfId="5624" xr:uid="{00000000-0005-0000-0000-000004190000}"/>
    <cellStyle name="20% - Accent6 2 5 5 2" xfId="5625" xr:uid="{00000000-0005-0000-0000-000005190000}"/>
    <cellStyle name="20% - Accent6 2 5 5 3" xfId="21489" xr:uid="{00000000-0005-0000-0000-000006190000}"/>
    <cellStyle name="20% - Accent6 2 5 6" xfId="5626" xr:uid="{00000000-0005-0000-0000-000007190000}"/>
    <cellStyle name="20% - Accent6 2 5 7" xfId="18895" xr:uid="{00000000-0005-0000-0000-000008190000}"/>
    <cellStyle name="20% - Accent6 2 6" xfId="5627" xr:uid="{00000000-0005-0000-0000-000009190000}"/>
    <cellStyle name="20% - Accent6 2 6 2" xfId="5628" xr:uid="{00000000-0005-0000-0000-00000A190000}"/>
    <cellStyle name="20% - Accent6 2 6 2 2" xfId="5629" xr:uid="{00000000-0005-0000-0000-00000B190000}"/>
    <cellStyle name="20% - Accent6 2 6 2 2 2" xfId="5630" xr:uid="{00000000-0005-0000-0000-00000C190000}"/>
    <cellStyle name="20% - Accent6 2 6 2 2 2 2" xfId="5631" xr:uid="{00000000-0005-0000-0000-00000D190000}"/>
    <cellStyle name="20% - Accent6 2 6 2 2 2 3" xfId="23585" xr:uid="{00000000-0005-0000-0000-00000E190000}"/>
    <cellStyle name="20% - Accent6 2 6 2 2 3" xfId="5632" xr:uid="{00000000-0005-0000-0000-00000F190000}"/>
    <cellStyle name="20% - Accent6 2 6 2 2 4" xfId="21002" xr:uid="{00000000-0005-0000-0000-000010190000}"/>
    <cellStyle name="20% - Accent6 2 6 2 3" xfId="5633" xr:uid="{00000000-0005-0000-0000-000011190000}"/>
    <cellStyle name="20% - Accent6 2 6 2 3 2" xfId="5634" xr:uid="{00000000-0005-0000-0000-000012190000}"/>
    <cellStyle name="20% - Accent6 2 6 2 3 3" xfId="22295" xr:uid="{00000000-0005-0000-0000-000013190000}"/>
    <cellStyle name="20% - Accent6 2 6 2 4" xfId="5635" xr:uid="{00000000-0005-0000-0000-000014190000}"/>
    <cellStyle name="20% - Accent6 2 6 2 5" xfId="19708" xr:uid="{00000000-0005-0000-0000-000015190000}"/>
    <cellStyle name="20% - Accent6 2 6 3" xfId="5636" xr:uid="{00000000-0005-0000-0000-000016190000}"/>
    <cellStyle name="20% - Accent6 2 6 3 2" xfId="5637" xr:uid="{00000000-0005-0000-0000-000017190000}"/>
    <cellStyle name="20% - Accent6 2 6 3 2 2" xfId="5638" xr:uid="{00000000-0005-0000-0000-000018190000}"/>
    <cellStyle name="20% - Accent6 2 6 3 2 3" xfId="22940" xr:uid="{00000000-0005-0000-0000-000019190000}"/>
    <cellStyle name="20% - Accent6 2 6 3 3" xfId="5639" xr:uid="{00000000-0005-0000-0000-00001A190000}"/>
    <cellStyle name="20% - Accent6 2 6 3 4" xfId="20357" xr:uid="{00000000-0005-0000-0000-00001B190000}"/>
    <cellStyle name="20% - Accent6 2 6 4" xfId="5640" xr:uid="{00000000-0005-0000-0000-00001C190000}"/>
    <cellStyle name="20% - Accent6 2 6 4 2" xfId="5641" xr:uid="{00000000-0005-0000-0000-00001D190000}"/>
    <cellStyle name="20% - Accent6 2 6 4 3" xfId="21650" xr:uid="{00000000-0005-0000-0000-00001E190000}"/>
    <cellStyle name="20% - Accent6 2 6 5" xfId="5642" xr:uid="{00000000-0005-0000-0000-00001F190000}"/>
    <cellStyle name="20% - Accent6 2 6 6" xfId="19060" xr:uid="{00000000-0005-0000-0000-000020190000}"/>
    <cellStyle name="20% - Accent6 2 7" xfId="5643" xr:uid="{00000000-0005-0000-0000-000021190000}"/>
    <cellStyle name="20% - Accent6 2 7 2" xfId="5644" xr:uid="{00000000-0005-0000-0000-000022190000}"/>
    <cellStyle name="20% - Accent6 2 7 2 2" xfId="5645" xr:uid="{00000000-0005-0000-0000-000023190000}"/>
    <cellStyle name="20% - Accent6 2 7 2 2 2" xfId="5646" xr:uid="{00000000-0005-0000-0000-000024190000}"/>
    <cellStyle name="20% - Accent6 2 7 2 2 3" xfId="23262" xr:uid="{00000000-0005-0000-0000-000025190000}"/>
    <cellStyle name="20% - Accent6 2 7 2 3" xfId="5647" xr:uid="{00000000-0005-0000-0000-000026190000}"/>
    <cellStyle name="20% - Accent6 2 7 2 4" xfId="20679" xr:uid="{00000000-0005-0000-0000-000027190000}"/>
    <cellStyle name="20% - Accent6 2 7 3" xfId="5648" xr:uid="{00000000-0005-0000-0000-000028190000}"/>
    <cellStyle name="20% - Accent6 2 7 3 2" xfId="5649" xr:uid="{00000000-0005-0000-0000-000029190000}"/>
    <cellStyle name="20% - Accent6 2 7 3 3" xfId="21972" xr:uid="{00000000-0005-0000-0000-00002A190000}"/>
    <cellStyle name="20% - Accent6 2 7 4" xfId="5650" xr:uid="{00000000-0005-0000-0000-00002B190000}"/>
    <cellStyle name="20% - Accent6 2 7 5" xfId="19386" xr:uid="{00000000-0005-0000-0000-00002C190000}"/>
    <cellStyle name="20% - Accent6 2 8" xfId="5651" xr:uid="{00000000-0005-0000-0000-00002D190000}"/>
    <cellStyle name="20% - Accent6 2 8 2" xfId="5652" xr:uid="{00000000-0005-0000-0000-00002E190000}"/>
    <cellStyle name="20% - Accent6 2 8 2 2" xfId="5653" xr:uid="{00000000-0005-0000-0000-00002F190000}"/>
    <cellStyle name="20% - Accent6 2 8 2 3" xfId="22617" xr:uid="{00000000-0005-0000-0000-000030190000}"/>
    <cellStyle name="20% - Accent6 2 8 3" xfId="5654" xr:uid="{00000000-0005-0000-0000-000031190000}"/>
    <cellStyle name="20% - Accent6 2 8 4" xfId="20034" xr:uid="{00000000-0005-0000-0000-000032190000}"/>
    <cellStyle name="20% - Accent6 2 9" xfId="5655" xr:uid="{00000000-0005-0000-0000-000033190000}"/>
    <cellStyle name="20% - Accent6 2 9 2" xfId="5656" xr:uid="{00000000-0005-0000-0000-000034190000}"/>
    <cellStyle name="20% - Accent6 2 9 3" xfId="21327" xr:uid="{00000000-0005-0000-0000-000035190000}"/>
    <cellStyle name="20% - Accent6 3" xfId="5657" xr:uid="{00000000-0005-0000-0000-000036190000}"/>
    <cellStyle name="20% - Accent6 3 10" xfId="18715" xr:uid="{00000000-0005-0000-0000-000037190000}"/>
    <cellStyle name="20% - Accent6 3 2" xfId="5658" xr:uid="{00000000-0005-0000-0000-000038190000}"/>
    <cellStyle name="20% - Accent6 3 2 2" xfId="5659" xr:uid="{00000000-0005-0000-0000-000039190000}"/>
    <cellStyle name="20% - Accent6 3 2 2 2" xfId="5660" xr:uid="{00000000-0005-0000-0000-00003A190000}"/>
    <cellStyle name="20% - Accent6 3 2 2 2 2" xfId="5661" xr:uid="{00000000-0005-0000-0000-00003B190000}"/>
    <cellStyle name="20% - Accent6 3 2 2 2 2 2" xfId="5662" xr:uid="{00000000-0005-0000-0000-00003C190000}"/>
    <cellStyle name="20% - Accent6 3 2 2 2 2 2 2" xfId="5663" xr:uid="{00000000-0005-0000-0000-00003D190000}"/>
    <cellStyle name="20% - Accent6 3 2 2 2 2 2 2 2" xfId="5664" xr:uid="{00000000-0005-0000-0000-00003E190000}"/>
    <cellStyle name="20% - Accent6 3 2 2 2 2 2 2 2 2" xfId="5665" xr:uid="{00000000-0005-0000-0000-00003F190000}"/>
    <cellStyle name="20% - Accent6 3 2 2 2 2 2 2 2 3" xfId="23876" xr:uid="{00000000-0005-0000-0000-000040190000}"/>
    <cellStyle name="20% - Accent6 3 2 2 2 2 2 2 3" xfId="5666" xr:uid="{00000000-0005-0000-0000-000041190000}"/>
    <cellStyle name="20% - Accent6 3 2 2 2 2 2 2 4" xfId="21293" xr:uid="{00000000-0005-0000-0000-000042190000}"/>
    <cellStyle name="20% - Accent6 3 2 2 2 2 2 3" xfId="5667" xr:uid="{00000000-0005-0000-0000-000043190000}"/>
    <cellStyle name="20% - Accent6 3 2 2 2 2 2 3 2" xfId="5668" xr:uid="{00000000-0005-0000-0000-000044190000}"/>
    <cellStyle name="20% - Accent6 3 2 2 2 2 2 3 3" xfId="22586" xr:uid="{00000000-0005-0000-0000-000045190000}"/>
    <cellStyle name="20% - Accent6 3 2 2 2 2 2 4" xfId="5669" xr:uid="{00000000-0005-0000-0000-000046190000}"/>
    <cellStyle name="20% - Accent6 3 2 2 2 2 2 5" xfId="19999" xr:uid="{00000000-0005-0000-0000-000047190000}"/>
    <cellStyle name="20% - Accent6 3 2 2 2 2 3" xfId="5670" xr:uid="{00000000-0005-0000-0000-000048190000}"/>
    <cellStyle name="20% - Accent6 3 2 2 2 2 3 2" xfId="5671" xr:uid="{00000000-0005-0000-0000-000049190000}"/>
    <cellStyle name="20% - Accent6 3 2 2 2 2 3 2 2" xfId="5672" xr:uid="{00000000-0005-0000-0000-00004A190000}"/>
    <cellStyle name="20% - Accent6 3 2 2 2 2 3 2 3" xfId="23231" xr:uid="{00000000-0005-0000-0000-00004B190000}"/>
    <cellStyle name="20% - Accent6 3 2 2 2 2 3 3" xfId="5673" xr:uid="{00000000-0005-0000-0000-00004C190000}"/>
    <cellStyle name="20% - Accent6 3 2 2 2 2 3 4" xfId="20648" xr:uid="{00000000-0005-0000-0000-00004D190000}"/>
    <cellStyle name="20% - Accent6 3 2 2 2 2 4" xfId="5674" xr:uid="{00000000-0005-0000-0000-00004E190000}"/>
    <cellStyle name="20% - Accent6 3 2 2 2 2 4 2" xfId="5675" xr:uid="{00000000-0005-0000-0000-00004F190000}"/>
    <cellStyle name="20% - Accent6 3 2 2 2 2 4 3" xfId="21941" xr:uid="{00000000-0005-0000-0000-000050190000}"/>
    <cellStyle name="20% - Accent6 3 2 2 2 2 5" xfId="5676" xr:uid="{00000000-0005-0000-0000-000051190000}"/>
    <cellStyle name="20% - Accent6 3 2 2 2 2 6" xfId="19351" xr:uid="{00000000-0005-0000-0000-000052190000}"/>
    <cellStyle name="20% - Accent6 3 2 2 2 3" xfId="5677" xr:uid="{00000000-0005-0000-0000-000053190000}"/>
    <cellStyle name="20% - Accent6 3 2 2 2 3 2" xfId="5678" xr:uid="{00000000-0005-0000-0000-000054190000}"/>
    <cellStyle name="20% - Accent6 3 2 2 2 3 2 2" xfId="5679" xr:uid="{00000000-0005-0000-0000-000055190000}"/>
    <cellStyle name="20% - Accent6 3 2 2 2 3 2 2 2" xfId="5680" xr:uid="{00000000-0005-0000-0000-000056190000}"/>
    <cellStyle name="20% - Accent6 3 2 2 2 3 2 2 3" xfId="23554" xr:uid="{00000000-0005-0000-0000-000057190000}"/>
    <cellStyle name="20% - Accent6 3 2 2 2 3 2 3" xfId="5681" xr:uid="{00000000-0005-0000-0000-000058190000}"/>
    <cellStyle name="20% - Accent6 3 2 2 2 3 2 4" xfId="20971" xr:uid="{00000000-0005-0000-0000-000059190000}"/>
    <cellStyle name="20% - Accent6 3 2 2 2 3 3" xfId="5682" xr:uid="{00000000-0005-0000-0000-00005A190000}"/>
    <cellStyle name="20% - Accent6 3 2 2 2 3 3 2" xfId="5683" xr:uid="{00000000-0005-0000-0000-00005B190000}"/>
    <cellStyle name="20% - Accent6 3 2 2 2 3 3 3" xfId="22264" xr:uid="{00000000-0005-0000-0000-00005C190000}"/>
    <cellStyle name="20% - Accent6 3 2 2 2 3 4" xfId="5684" xr:uid="{00000000-0005-0000-0000-00005D190000}"/>
    <cellStyle name="20% - Accent6 3 2 2 2 3 5" xfId="19677" xr:uid="{00000000-0005-0000-0000-00005E190000}"/>
    <cellStyle name="20% - Accent6 3 2 2 2 4" xfId="5685" xr:uid="{00000000-0005-0000-0000-00005F190000}"/>
    <cellStyle name="20% - Accent6 3 2 2 2 4 2" xfId="5686" xr:uid="{00000000-0005-0000-0000-000060190000}"/>
    <cellStyle name="20% - Accent6 3 2 2 2 4 2 2" xfId="5687" xr:uid="{00000000-0005-0000-0000-000061190000}"/>
    <cellStyle name="20% - Accent6 3 2 2 2 4 2 3" xfId="22909" xr:uid="{00000000-0005-0000-0000-000062190000}"/>
    <cellStyle name="20% - Accent6 3 2 2 2 4 3" xfId="5688" xr:uid="{00000000-0005-0000-0000-000063190000}"/>
    <cellStyle name="20% - Accent6 3 2 2 2 4 4" xfId="20326" xr:uid="{00000000-0005-0000-0000-000064190000}"/>
    <cellStyle name="20% - Accent6 3 2 2 2 5" xfId="5689" xr:uid="{00000000-0005-0000-0000-000065190000}"/>
    <cellStyle name="20% - Accent6 3 2 2 2 5 2" xfId="5690" xr:uid="{00000000-0005-0000-0000-000066190000}"/>
    <cellStyle name="20% - Accent6 3 2 2 2 5 3" xfId="21619" xr:uid="{00000000-0005-0000-0000-000067190000}"/>
    <cellStyle name="20% - Accent6 3 2 2 2 6" xfId="5691" xr:uid="{00000000-0005-0000-0000-000068190000}"/>
    <cellStyle name="20% - Accent6 3 2 2 2 7" xfId="19025" xr:uid="{00000000-0005-0000-0000-000069190000}"/>
    <cellStyle name="20% - Accent6 3 2 2 3" xfId="5692" xr:uid="{00000000-0005-0000-0000-00006A190000}"/>
    <cellStyle name="20% - Accent6 3 2 2 3 2" xfId="5693" xr:uid="{00000000-0005-0000-0000-00006B190000}"/>
    <cellStyle name="20% - Accent6 3 2 2 3 2 2" xfId="5694" xr:uid="{00000000-0005-0000-0000-00006C190000}"/>
    <cellStyle name="20% - Accent6 3 2 2 3 2 2 2" xfId="5695" xr:uid="{00000000-0005-0000-0000-00006D190000}"/>
    <cellStyle name="20% - Accent6 3 2 2 3 2 2 2 2" xfId="5696" xr:uid="{00000000-0005-0000-0000-00006E190000}"/>
    <cellStyle name="20% - Accent6 3 2 2 3 2 2 2 3" xfId="23715" xr:uid="{00000000-0005-0000-0000-00006F190000}"/>
    <cellStyle name="20% - Accent6 3 2 2 3 2 2 3" xfId="5697" xr:uid="{00000000-0005-0000-0000-000070190000}"/>
    <cellStyle name="20% - Accent6 3 2 2 3 2 2 4" xfId="21132" xr:uid="{00000000-0005-0000-0000-000071190000}"/>
    <cellStyle name="20% - Accent6 3 2 2 3 2 3" xfId="5698" xr:uid="{00000000-0005-0000-0000-000072190000}"/>
    <cellStyle name="20% - Accent6 3 2 2 3 2 3 2" xfId="5699" xr:uid="{00000000-0005-0000-0000-000073190000}"/>
    <cellStyle name="20% - Accent6 3 2 2 3 2 3 3" xfId="22425" xr:uid="{00000000-0005-0000-0000-000074190000}"/>
    <cellStyle name="20% - Accent6 3 2 2 3 2 4" xfId="5700" xr:uid="{00000000-0005-0000-0000-000075190000}"/>
    <cellStyle name="20% - Accent6 3 2 2 3 2 5" xfId="19838" xr:uid="{00000000-0005-0000-0000-000076190000}"/>
    <cellStyle name="20% - Accent6 3 2 2 3 3" xfId="5701" xr:uid="{00000000-0005-0000-0000-000077190000}"/>
    <cellStyle name="20% - Accent6 3 2 2 3 3 2" xfId="5702" xr:uid="{00000000-0005-0000-0000-000078190000}"/>
    <cellStyle name="20% - Accent6 3 2 2 3 3 2 2" xfId="5703" xr:uid="{00000000-0005-0000-0000-000079190000}"/>
    <cellStyle name="20% - Accent6 3 2 2 3 3 2 3" xfId="23070" xr:uid="{00000000-0005-0000-0000-00007A190000}"/>
    <cellStyle name="20% - Accent6 3 2 2 3 3 3" xfId="5704" xr:uid="{00000000-0005-0000-0000-00007B190000}"/>
    <cellStyle name="20% - Accent6 3 2 2 3 3 4" xfId="20487" xr:uid="{00000000-0005-0000-0000-00007C190000}"/>
    <cellStyle name="20% - Accent6 3 2 2 3 4" xfId="5705" xr:uid="{00000000-0005-0000-0000-00007D190000}"/>
    <cellStyle name="20% - Accent6 3 2 2 3 4 2" xfId="5706" xr:uid="{00000000-0005-0000-0000-00007E190000}"/>
    <cellStyle name="20% - Accent6 3 2 2 3 4 3" xfId="21780" xr:uid="{00000000-0005-0000-0000-00007F190000}"/>
    <cellStyle name="20% - Accent6 3 2 2 3 5" xfId="5707" xr:uid="{00000000-0005-0000-0000-000080190000}"/>
    <cellStyle name="20% - Accent6 3 2 2 3 6" xfId="19190" xr:uid="{00000000-0005-0000-0000-000081190000}"/>
    <cellStyle name="20% - Accent6 3 2 2 4" xfId="5708" xr:uid="{00000000-0005-0000-0000-000082190000}"/>
    <cellStyle name="20% - Accent6 3 2 2 4 2" xfId="5709" xr:uid="{00000000-0005-0000-0000-000083190000}"/>
    <cellStyle name="20% - Accent6 3 2 2 4 2 2" xfId="5710" xr:uid="{00000000-0005-0000-0000-000084190000}"/>
    <cellStyle name="20% - Accent6 3 2 2 4 2 2 2" xfId="5711" xr:uid="{00000000-0005-0000-0000-000085190000}"/>
    <cellStyle name="20% - Accent6 3 2 2 4 2 2 3" xfId="23393" xr:uid="{00000000-0005-0000-0000-000086190000}"/>
    <cellStyle name="20% - Accent6 3 2 2 4 2 3" xfId="5712" xr:uid="{00000000-0005-0000-0000-000087190000}"/>
    <cellStyle name="20% - Accent6 3 2 2 4 2 4" xfId="20810" xr:uid="{00000000-0005-0000-0000-000088190000}"/>
    <cellStyle name="20% - Accent6 3 2 2 4 3" xfId="5713" xr:uid="{00000000-0005-0000-0000-000089190000}"/>
    <cellStyle name="20% - Accent6 3 2 2 4 3 2" xfId="5714" xr:uid="{00000000-0005-0000-0000-00008A190000}"/>
    <cellStyle name="20% - Accent6 3 2 2 4 3 3" xfId="22103" xr:uid="{00000000-0005-0000-0000-00008B190000}"/>
    <cellStyle name="20% - Accent6 3 2 2 4 4" xfId="5715" xr:uid="{00000000-0005-0000-0000-00008C190000}"/>
    <cellStyle name="20% - Accent6 3 2 2 4 5" xfId="19516" xr:uid="{00000000-0005-0000-0000-00008D190000}"/>
    <cellStyle name="20% - Accent6 3 2 2 5" xfId="5716" xr:uid="{00000000-0005-0000-0000-00008E190000}"/>
    <cellStyle name="20% - Accent6 3 2 2 5 2" xfId="5717" xr:uid="{00000000-0005-0000-0000-00008F190000}"/>
    <cellStyle name="20% - Accent6 3 2 2 5 2 2" xfId="5718" xr:uid="{00000000-0005-0000-0000-000090190000}"/>
    <cellStyle name="20% - Accent6 3 2 2 5 2 3" xfId="22748" xr:uid="{00000000-0005-0000-0000-000091190000}"/>
    <cellStyle name="20% - Accent6 3 2 2 5 3" xfId="5719" xr:uid="{00000000-0005-0000-0000-000092190000}"/>
    <cellStyle name="20% - Accent6 3 2 2 5 4" xfId="20165" xr:uid="{00000000-0005-0000-0000-000093190000}"/>
    <cellStyle name="20% - Accent6 3 2 2 6" xfId="5720" xr:uid="{00000000-0005-0000-0000-000094190000}"/>
    <cellStyle name="20% - Accent6 3 2 2 6 2" xfId="5721" xr:uid="{00000000-0005-0000-0000-000095190000}"/>
    <cellStyle name="20% - Accent6 3 2 2 6 3" xfId="21458" xr:uid="{00000000-0005-0000-0000-000096190000}"/>
    <cellStyle name="20% - Accent6 3 2 2 7" xfId="5722" xr:uid="{00000000-0005-0000-0000-000097190000}"/>
    <cellStyle name="20% - Accent6 3 2 2 8" xfId="18860" xr:uid="{00000000-0005-0000-0000-000098190000}"/>
    <cellStyle name="20% - Accent6 3 2 3" xfId="5723" xr:uid="{00000000-0005-0000-0000-000099190000}"/>
    <cellStyle name="20% - Accent6 3 2 3 2" xfId="5724" xr:uid="{00000000-0005-0000-0000-00009A190000}"/>
    <cellStyle name="20% - Accent6 3 2 3 2 2" xfId="5725" xr:uid="{00000000-0005-0000-0000-00009B190000}"/>
    <cellStyle name="20% - Accent6 3 2 3 2 2 2" xfId="5726" xr:uid="{00000000-0005-0000-0000-00009C190000}"/>
    <cellStyle name="20% - Accent6 3 2 3 2 2 2 2" xfId="5727" xr:uid="{00000000-0005-0000-0000-00009D190000}"/>
    <cellStyle name="20% - Accent6 3 2 3 2 2 2 2 2" xfId="5728" xr:uid="{00000000-0005-0000-0000-00009E190000}"/>
    <cellStyle name="20% - Accent6 3 2 3 2 2 2 2 3" xfId="23796" xr:uid="{00000000-0005-0000-0000-00009F190000}"/>
    <cellStyle name="20% - Accent6 3 2 3 2 2 2 3" xfId="5729" xr:uid="{00000000-0005-0000-0000-0000A0190000}"/>
    <cellStyle name="20% - Accent6 3 2 3 2 2 2 4" xfId="21213" xr:uid="{00000000-0005-0000-0000-0000A1190000}"/>
    <cellStyle name="20% - Accent6 3 2 3 2 2 3" xfId="5730" xr:uid="{00000000-0005-0000-0000-0000A2190000}"/>
    <cellStyle name="20% - Accent6 3 2 3 2 2 3 2" xfId="5731" xr:uid="{00000000-0005-0000-0000-0000A3190000}"/>
    <cellStyle name="20% - Accent6 3 2 3 2 2 3 3" xfId="22506" xr:uid="{00000000-0005-0000-0000-0000A4190000}"/>
    <cellStyle name="20% - Accent6 3 2 3 2 2 4" xfId="5732" xr:uid="{00000000-0005-0000-0000-0000A5190000}"/>
    <cellStyle name="20% - Accent6 3 2 3 2 2 5" xfId="19919" xr:uid="{00000000-0005-0000-0000-0000A6190000}"/>
    <cellStyle name="20% - Accent6 3 2 3 2 3" xfId="5733" xr:uid="{00000000-0005-0000-0000-0000A7190000}"/>
    <cellStyle name="20% - Accent6 3 2 3 2 3 2" xfId="5734" xr:uid="{00000000-0005-0000-0000-0000A8190000}"/>
    <cellStyle name="20% - Accent6 3 2 3 2 3 2 2" xfId="5735" xr:uid="{00000000-0005-0000-0000-0000A9190000}"/>
    <cellStyle name="20% - Accent6 3 2 3 2 3 2 3" xfId="23151" xr:uid="{00000000-0005-0000-0000-0000AA190000}"/>
    <cellStyle name="20% - Accent6 3 2 3 2 3 3" xfId="5736" xr:uid="{00000000-0005-0000-0000-0000AB190000}"/>
    <cellStyle name="20% - Accent6 3 2 3 2 3 4" xfId="20568" xr:uid="{00000000-0005-0000-0000-0000AC190000}"/>
    <cellStyle name="20% - Accent6 3 2 3 2 4" xfId="5737" xr:uid="{00000000-0005-0000-0000-0000AD190000}"/>
    <cellStyle name="20% - Accent6 3 2 3 2 4 2" xfId="5738" xr:uid="{00000000-0005-0000-0000-0000AE190000}"/>
    <cellStyle name="20% - Accent6 3 2 3 2 4 3" xfId="21861" xr:uid="{00000000-0005-0000-0000-0000AF190000}"/>
    <cellStyle name="20% - Accent6 3 2 3 2 5" xfId="5739" xr:uid="{00000000-0005-0000-0000-0000B0190000}"/>
    <cellStyle name="20% - Accent6 3 2 3 2 6" xfId="19271" xr:uid="{00000000-0005-0000-0000-0000B1190000}"/>
    <cellStyle name="20% - Accent6 3 2 3 3" xfId="5740" xr:uid="{00000000-0005-0000-0000-0000B2190000}"/>
    <cellStyle name="20% - Accent6 3 2 3 3 2" xfId="5741" xr:uid="{00000000-0005-0000-0000-0000B3190000}"/>
    <cellStyle name="20% - Accent6 3 2 3 3 2 2" xfId="5742" xr:uid="{00000000-0005-0000-0000-0000B4190000}"/>
    <cellStyle name="20% - Accent6 3 2 3 3 2 2 2" xfId="5743" xr:uid="{00000000-0005-0000-0000-0000B5190000}"/>
    <cellStyle name="20% - Accent6 3 2 3 3 2 2 3" xfId="23474" xr:uid="{00000000-0005-0000-0000-0000B6190000}"/>
    <cellStyle name="20% - Accent6 3 2 3 3 2 3" xfId="5744" xr:uid="{00000000-0005-0000-0000-0000B7190000}"/>
    <cellStyle name="20% - Accent6 3 2 3 3 2 4" xfId="20891" xr:uid="{00000000-0005-0000-0000-0000B8190000}"/>
    <cellStyle name="20% - Accent6 3 2 3 3 3" xfId="5745" xr:uid="{00000000-0005-0000-0000-0000B9190000}"/>
    <cellStyle name="20% - Accent6 3 2 3 3 3 2" xfId="5746" xr:uid="{00000000-0005-0000-0000-0000BA190000}"/>
    <cellStyle name="20% - Accent6 3 2 3 3 3 3" xfId="22184" xr:uid="{00000000-0005-0000-0000-0000BB190000}"/>
    <cellStyle name="20% - Accent6 3 2 3 3 4" xfId="5747" xr:uid="{00000000-0005-0000-0000-0000BC190000}"/>
    <cellStyle name="20% - Accent6 3 2 3 3 5" xfId="19597" xr:uid="{00000000-0005-0000-0000-0000BD190000}"/>
    <cellStyle name="20% - Accent6 3 2 3 4" xfId="5748" xr:uid="{00000000-0005-0000-0000-0000BE190000}"/>
    <cellStyle name="20% - Accent6 3 2 3 4 2" xfId="5749" xr:uid="{00000000-0005-0000-0000-0000BF190000}"/>
    <cellStyle name="20% - Accent6 3 2 3 4 2 2" xfId="5750" xr:uid="{00000000-0005-0000-0000-0000C0190000}"/>
    <cellStyle name="20% - Accent6 3 2 3 4 2 3" xfId="22829" xr:uid="{00000000-0005-0000-0000-0000C1190000}"/>
    <cellStyle name="20% - Accent6 3 2 3 4 3" xfId="5751" xr:uid="{00000000-0005-0000-0000-0000C2190000}"/>
    <cellStyle name="20% - Accent6 3 2 3 4 4" xfId="20246" xr:uid="{00000000-0005-0000-0000-0000C3190000}"/>
    <cellStyle name="20% - Accent6 3 2 3 5" xfId="5752" xr:uid="{00000000-0005-0000-0000-0000C4190000}"/>
    <cellStyle name="20% - Accent6 3 2 3 5 2" xfId="5753" xr:uid="{00000000-0005-0000-0000-0000C5190000}"/>
    <cellStyle name="20% - Accent6 3 2 3 5 3" xfId="21539" xr:uid="{00000000-0005-0000-0000-0000C6190000}"/>
    <cellStyle name="20% - Accent6 3 2 3 6" xfId="5754" xr:uid="{00000000-0005-0000-0000-0000C7190000}"/>
    <cellStyle name="20% - Accent6 3 2 3 7" xfId="18945" xr:uid="{00000000-0005-0000-0000-0000C8190000}"/>
    <cellStyle name="20% - Accent6 3 2 4" xfId="5755" xr:uid="{00000000-0005-0000-0000-0000C9190000}"/>
    <cellStyle name="20% - Accent6 3 2 4 2" xfId="5756" xr:uid="{00000000-0005-0000-0000-0000CA190000}"/>
    <cellStyle name="20% - Accent6 3 2 4 2 2" xfId="5757" xr:uid="{00000000-0005-0000-0000-0000CB190000}"/>
    <cellStyle name="20% - Accent6 3 2 4 2 2 2" xfId="5758" xr:uid="{00000000-0005-0000-0000-0000CC190000}"/>
    <cellStyle name="20% - Accent6 3 2 4 2 2 2 2" xfId="5759" xr:uid="{00000000-0005-0000-0000-0000CD190000}"/>
    <cellStyle name="20% - Accent6 3 2 4 2 2 2 3" xfId="23635" xr:uid="{00000000-0005-0000-0000-0000CE190000}"/>
    <cellStyle name="20% - Accent6 3 2 4 2 2 3" xfId="5760" xr:uid="{00000000-0005-0000-0000-0000CF190000}"/>
    <cellStyle name="20% - Accent6 3 2 4 2 2 4" xfId="21052" xr:uid="{00000000-0005-0000-0000-0000D0190000}"/>
    <cellStyle name="20% - Accent6 3 2 4 2 3" xfId="5761" xr:uid="{00000000-0005-0000-0000-0000D1190000}"/>
    <cellStyle name="20% - Accent6 3 2 4 2 3 2" xfId="5762" xr:uid="{00000000-0005-0000-0000-0000D2190000}"/>
    <cellStyle name="20% - Accent6 3 2 4 2 3 3" xfId="22345" xr:uid="{00000000-0005-0000-0000-0000D3190000}"/>
    <cellStyle name="20% - Accent6 3 2 4 2 4" xfId="5763" xr:uid="{00000000-0005-0000-0000-0000D4190000}"/>
    <cellStyle name="20% - Accent6 3 2 4 2 5" xfId="19758" xr:uid="{00000000-0005-0000-0000-0000D5190000}"/>
    <cellStyle name="20% - Accent6 3 2 4 3" xfId="5764" xr:uid="{00000000-0005-0000-0000-0000D6190000}"/>
    <cellStyle name="20% - Accent6 3 2 4 3 2" xfId="5765" xr:uid="{00000000-0005-0000-0000-0000D7190000}"/>
    <cellStyle name="20% - Accent6 3 2 4 3 2 2" xfId="5766" xr:uid="{00000000-0005-0000-0000-0000D8190000}"/>
    <cellStyle name="20% - Accent6 3 2 4 3 2 3" xfId="22990" xr:uid="{00000000-0005-0000-0000-0000D9190000}"/>
    <cellStyle name="20% - Accent6 3 2 4 3 3" xfId="5767" xr:uid="{00000000-0005-0000-0000-0000DA190000}"/>
    <cellStyle name="20% - Accent6 3 2 4 3 4" xfId="20407" xr:uid="{00000000-0005-0000-0000-0000DB190000}"/>
    <cellStyle name="20% - Accent6 3 2 4 4" xfId="5768" xr:uid="{00000000-0005-0000-0000-0000DC190000}"/>
    <cellStyle name="20% - Accent6 3 2 4 4 2" xfId="5769" xr:uid="{00000000-0005-0000-0000-0000DD190000}"/>
    <cellStyle name="20% - Accent6 3 2 4 4 3" xfId="21700" xr:uid="{00000000-0005-0000-0000-0000DE190000}"/>
    <cellStyle name="20% - Accent6 3 2 4 5" xfId="5770" xr:uid="{00000000-0005-0000-0000-0000DF190000}"/>
    <cellStyle name="20% - Accent6 3 2 4 6" xfId="19110" xr:uid="{00000000-0005-0000-0000-0000E0190000}"/>
    <cellStyle name="20% - Accent6 3 2 5" xfId="5771" xr:uid="{00000000-0005-0000-0000-0000E1190000}"/>
    <cellStyle name="20% - Accent6 3 2 5 2" xfId="5772" xr:uid="{00000000-0005-0000-0000-0000E2190000}"/>
    <cellStyle name="20% - Accent6 3 2 5 2 2" xfId="5773" xr:uid="{00000000-0005-0000-0000-0000E3190000}"/>
    <cellStyle name="20% - Accent6 3 2 5 2 2 2" xfId="5774" xr:uid="{00000000-0005-0000-0000-0000E4190000}"/>
    <cellStyle name="20% - Accent6 3 2 5 2 2 3" xfId="23312" xr:uid="{00000000-0005-0000-0000-0000E5190000}"/>
    <cellStyle name="20% - Accent6 3 2 5 2 3" xfId="5775" xr:uid="{00000000-0005-0000-0000-0000E6190000}"/>
    <cellStyle name="20% - Accent6 3 2 5 2 4" xfId="20729" xr:uid="{00000000-0005-0000-0000-0000E7190000}"/>
    <cellStyle name="20% - Accent6 3 2 5 3" xfId="5776" xr:uid="{00000000-0005-0000-0000-0000E8190000}"/>
    <cellStyle name="20% - Accent6 3 2 5 3 2" xfId="5777" xr:uid="{00000000-0005-0000-0000-0000E9190000}"/>
    <cellStyle name="20% - Accent6 3 2 5 3 3" xfId="22022" xr:uid="{00000000-0005-0000-0000-0000EA190000}"/>
    <cellStyle name="20% - Accent6 3 2 5 4" xfId="5778" xr:uid="{00000000-0005-0000-0000-0000EB190000}"/>
    <cellStyle name="20% - Accent6 3 2 5 5" xfId="19436" xr:uid="{00000000-0005-0000-0000-0000EC190000}"/>
    <cellStyle name="20% - Accent6 3 2 6" xfId="5779" xr:uid="{00000000-0005-0000-0000-0000ED190000}"/>
    <cellStyle name="20% - Accent6 3 2 6 2" xfId="5780" xr:uid="{00000000-0005-0000-0000-0000EE190000}"/>
    <cellStyle name="20% - Accent6 3 2 6 2 2" xfId="5781" xr:uid="{00000000-0005-0000-0000-0000EF190000}"/>
    <cellStyle name="20% - Accent6 3 2 6 2 3" xfId="22667" xr:uid="{00000000-0005-0000-0000-0000F0190000}"/>
    <cellStyle name="20% - Accent6 3 2 6 3" xfId="5782" xr:uid="{00000000-0005-0000-0000-0000F1190000}"/>
    <cellStyle name="20% - Accent6 3 2 6 4" xfId="20084" xr:uid="{00000000-0005-0000-0000-0000F2190000}"/>
    <cellStyle name="20% - Accent6 3 2 7" xfId="5783" xr:uid="{00000000-0005-0000-0000-0000F3190000}"/>
    <cellStyle name="20% - Accent6 3 2 7 2" xfId="5784" xr:uid="{00000000-0005-0000-0000-0000F4190000}"/>
    <cellStyle name="20% - Accent6 3 2 7 3" xfId="21377" xr:uid="{00000000-0005-0000-0000-0000F5190000}"/>
    <cellStyle name="20% - Accent6 3 2 8" xfId="5785" xr:uid="{00000000-0005-0000-0000-0000F6190000}"/>
    <cellStyle name="20% - Accent6 3 2 9" xfId="18763" xr:uid="{00000000-0005-0000-0000-0000F7190000}"/>
    <cellStyle name="20% - Accent6 3 3" xfId="5786" xr:uid="{00000000-0005-0000-0000-0000F8190000}"/>
    <cellStyle name="20% - Accent6 3 3 2" xfId="5787" xr:uid="{00000000-0005-0000-0000-0000F9190000}"/>
    <cellStyle name="20% - Accent6 3 3 2 2" xfId="5788" xr:uid="{00000000-0005-0000-0000-0000FA190000}"/>
    <cellStyle name="20% - Accent6 3 3 2 2 2" xfId="5789" xr:uid="{00000000-0005-0000-0000-0000FB190000}"/>
    <cellStyle name="20% - Accent6 3 3 2 2 2 2" xfId="5790" xr:uid="{00000000-0005-0000-0000-0000FC190000}"/>
    <cellStyle name="20% - Accent6 3 3 2 2 2 2 2" xfId="5791" xr:uid="{00000000-0005-0000-0000-0000FD190000}"/>
    <cellStyle name="20% - Accent6 3 3 2 2 2 2 2 2" xfId="5792" xr:uid="{00000000-0005-0000-0000-0000FE190000}"/>
    <cellStyle name="20% - Accent6 3 3 2 2 2 2 2 3" xfId="23836" xr:uid="{00000000-0005-0000-0000-0000FF190000}"/>
    <cellStyle name="20% - Accent6 3 3 2 2 2 2 3" xfId="5793" xr:uid="{00000000-0005-0000-0000-0000001A0000}"/>
    <cellStyle name="20% - Accent6 3 3 2 2 2 2 4" xfId="21253" xr:uid="{00000000-0005-0000-0000-0000011A0000}"/>
    <cellStyle name="20% - Accent6 3 3 2 2 2 3" xfId="5794" xr:uid="{00000000-0005-0000-0000-0000021A0000}"/>
    <cellStyle name="20% - Accent6 3 3 2 2 2 3 2" xfId="5795" xr:uid="{00000000-0005-0000-0000-0000031A0000}"/>
    <cellStyle name="20% - Accent6 3 3 2 2 2 3 3" xfId="22546" xr:uid="{00000000-0005-0000-0000-0000041A0000}"/>
    <cellStyle name="20% - Accent6 3 3 2 2 2 4" xfId="5796" xr:uid="{00000000-0005-0000-0000-0000051A0000}"/>
    <cellStyle name="20% - Accent6 3 3 2 2 2 5" xfId="19959" xr:uid="{00000000-0005-0000-0000-0000061A0000}"/>
    <cellStyle name="20% - Accent6 3 3 2 2 3" xfId="5797" xr:uid="{00000000-0005-0000-0000-0000071A0000}"/>
    <cellStyle name="20% - Accent6 3 3 2 2 3 2" xfId="5798" xr:uid="{00000000-0005-0000-0000-0000081A0000}"/>
    <cellStyle name="20% - Accent6 3 3 2 2 3 2 2" xfId="5799" xr:uid="{00000000-0005-0000-0000-0000091A0000}"/>
    <cellStyle name="20% - Accent6 3 3 2 2 3 2 3" xfId="23191" xr:uid="{00000000-0005-0000-0000-00000A1A0000}"/>
    <cellStyle name="20% - Accent6 3 3 2 2 3 3" xfId="5800" xr:uid="{00000000-0005-0000-0000-00000B1A0000}"/>
    <cellStyle name="20% - Accent6 3 3 2 2 3 4" xfId="20608" xr:uid="{00000000-0005-0000-0000-00000C1A0000}"/>
    <cellStyle name="20% - Accent6 3 3 2 2 4" xfId="5801" xr:uid="{00000000-0005-0000-0000-00000D1A0000}"/>
    <cellStyle name="20% - Accent6 3 3 2 2 4 2" xfId="5802" xr:uid="{00000000-0005-0000-0000-00000E1A0000}"/>
    <cellStyle name="20% - Accent6 3 3 2 2 4 3" xfId="21901" xr:uid="{00000000-0005-0000-0000-00000F1A0000}"/>
    <cellStyle name="20% - Accent6 3 3 2 2 5" xfId="5803" xr:uid="{00000000-0005-0000-0000-0000101A0000}"/>
    <cellStyle name="20% - Accent6 3 3 2 2 6" xfId="19311" xr:uid="{00000000-0005-0000-0000-0000111A0000}"/>
    <cellStyle name="20% - Accent6 3 3 2 3" xfId="5804" xr:uid="{00000000-0005-0000-0000-0000121A0000}"/>
    <cellStyle name="20% - Accent6 3 3 2 3 2" xfId="5805" xr:uid="{00000000-0005-0000-0000-0000131A0000}"/>
    <cellStyle name="20% - Accent6 3 3 2 3 2 2" xfId="5806" xr:uid="{00000000-0005-0000-0000-0000141A0000}"/>
    <cellStyle name="20% - Accent6 3 3 2 3 2 2 2" xfId="5807" xr:uid="{00000000-0005-0000-0000-0000151A0000}"/>
    <cellStyle name="20% - Accent6 3 3 2 3 2 2 3" xfId="23514" xr:uid="{00000000-0005-0000-0000-0000161A0000}"/>
    <cellStyle name="20% - Accent6 3 3 2 3 2 3" xfId="5808" xr:uid="{00000000-0005-0000-0000-0000171A0000}"/>
    <cellStyle name="20% - Accent6 3 3 2 3 2 4" xfId="20931" xr:uid="{00000000-0005-0000-0000-0000181A0000}"/>
    <cellStyle name="20% - Accent6 3 3 2 3 3" xfId="5809" xr:uid="{00000000-0005-0000-0000-0000191A0000}"/>
    <cellStyle name="20% - Accent6 3 3 2 3 3 2" xfId="5810" xr:uid="{00000000-0005-0000-0000-00001A1A0000}"/>
    <cellStyle name="20% - Accent6 3 3 2 3 3 3" xfId="22224" xr:uid="{00000000-0005-0000-0000-00001B1A0000}"/>
    <cellStyle name="20% - Accent6 3 3 2 3 4" xfId="5811" xr:uid="{00000000-0005-0000-0000-00001C1A0000}"/>
    <cellStyle name="20% - Accent6 3 3 2 3 5" xfId="19637" xr:uid="{00000000-0005-0000-0000-00001D1A0000}"/>
    <cellStyle name="20% - Accent6 3 3 2 4" xfId="5812" xr:uid="{00000000-0005-0000-0000-00001E1A0000}"/>
    <cellStyle name="20% - Accent6 3 3 2 4 2" xfId="5813" xr:uid="{00000000-0005-0000-0000-00001F1A0000}"/>
    <cellStyle name="20% - Accent6 3 3 2 4 2 2" xfId="5814" xr:uid="{00000000-0005-0000-0000-0000201A0000}"/>
    <cellStyle name="20% - Accent6 3 3 2 4 2 3" xfId="22869" xr:uid="{00000000-0005-0000-0000-0000211A0000}"/>
    <cellStyle name="20% - Accent6 3 3 2 4 3" xfId="5815" xr:uid="{00000000-0005-0000-0000-0000221A0000}"/>
    <cellStyle name="20% - Accent6 3 3 2 4 4" xfId="20286" xr:uid="{00000000-0005-0000-0000-0000231A0000}"/>
    <cellStyle name="20% - Accent6 3 3 2 5" xfId="5816" xr:uid="{00000000-0005-0000-0000-0000241A0000}"/>
    <cellStyle name="20% - Accent6 3 3 2 5 2" xfId="5817" xr:uid="{00000000-0005-0000-0000-0000251A0000}"/>
    <cellStyle name="20% - Accent6 3 3 2 5 3" xfId="21579" xr:uid="{00000000-0005-0000-0000-0000261A0000}"/>
    <cellStyle name="20% - Accent6 3 3 2 6" xfId="5818" xr:uid="{00000000-0005-0000-0000-0000271A0000}"/>
    <cellStyle name="20% - Accent6 3 3 2 7" xfId="18985" xr:uid="{00000000-0005-0000-0000-0000281A0000}"/>
    <cellStyle name="20% - Accent6 3 3 3" xfId="5819" xr:uid="{00000000-0005-0000-0000-0000291A0000}"/>
    <cellStyle name="20% - Accent6 3 3 3 2" xfId="5820" xr:uid="{00000000-0005-0000-0000-00002A1A0000}"/>
    <cellStyle name="20% - Accent6 3 3 3 2 2" xfId="5821" xr:uid="{00000000-0005-0000-0000-00002B1A0000}"/>
    <cellStyle name="20% - Accent6 3 3 3 2 2 2" xfId="5822" xr:uid="{00000000-0005-0000-0000-00002C1A0000}"/>
    <cellStyle name="20% - Accent6 3 3 3 2 2 2 2" xfId="5823" xr:uid="{00000000-0005-0000-0000-00002D1A0000}"/>
    <cellStyle name="20% - Accent6 3 3 3 2 2 2 3" xfId="23675" xr:uid="{00000000-0005-0000-0000-00002E1A0000}"/>
    <cellStyle name="20% - Accent6 3 3 3 2 2 3" xfId="5824" xr:uid="{00000000-0005-0000-0000-00002F1A0000}"/>
    <cellStyle name="20% - Accent6 3 3 3 2 2 4" xfId="21092" xr:uid="{00000000-0005-0000-0000-0000301A0000}"/>
    <cellStyle name="20% - Accent6 3 3 3 2 3" xfId="5825" xr:uid="{00000000-0005-0000-0000-0000311A0000}"/>
    <cellStyle name="20% - Accent6 3 3 3 2 3 2" xfId="5826" xr:uid="{00000000-0005-0000-0000-0000321A0000}"/>
    <cellStyle name="20% - Accent6 3 3 3 2 3 3" xfId="22385" xr:uid="{00000000-0005-0000-0000-0000331A0000}"/>
    <cellStyle name="20% - Accent6 3 3 3 2 4" xfId="5827" xr:uid="{00000000-0005-0000-0000-0000341A0000}"/>
    <cellStyle name="20% - Accent6 3 3 3 2 5" xfId="19798" xr:uid="{00000000-0005-0000-0000-0000351A0000}"/>
    <cellStyle name="20% - Accent6 3 3 3 3" xfId="5828" xr:uid="{00000000-0005-0000-0000-0000361A0000}"/>
    <cellStyle name="20% - Accent6 3 3 3 3 2" xfId="5829" xr:uid="{00000000-0005-0000-0000-0000371A0000}"/>
    <cellStyle name="20% - Accent6 3 3 3 3 2 2" xfId="5830" xr:uid="{00000000-0005-0000-0000-0000381A0000}"/>
    <cellStyle name="20% - Accent6 3 3 3 3 2 3" xfId="23030" xr:uid="{00000000-0005-0000-0000-0000391A0000}"/>
    <cellStyle name="20% - Accent6 3 3 3 3 3" xfId="5831" xr:uid="{00000000-0005-0000-0000-00003A1A0000}"/>
    <cellStyle name="20% - Accent6 3 3 3 3 4" xfId="20447" xr:uid="{00000000-0005-0000-0000-00003B1A0000}"/>
    <cellStyle name="20% - Accent6 3 3 3 4" xfId="5832" xr:uid="{00000000-0005-0000-0000-00003C1A0000}"/>
    <cellStyle name="20% - Accent6 3 3 3 4 2" xfId="5833" xr:uid="{00000000-0005-0000-0000-00003D1A0000}"/>
    <cellStyle name="20% - Accent6 3 3 3 4 3" xfId="21740" xr:uid="{00000000-0005-0000-0000-00003E1A0000}"/>
    <cellStyle name="20% - Accent6 3 3 3 5" xfId="5834" xr:uid="{00000000-0005-0000-0000-00003F1A0000}"/>
    <cellStyle name="20% - Accent6 3 3 3 6" xfId="19150" xr:uid="{00000000-0005-0000-0000-0000401A0000}"/>
    <cellStyle name="20% - Accent6 3 3 4" xfId="5835" xr:uid="{00000000-0005-0000-0000-0000411A0000}"/>
    <cellStyle name="20% - Accent6 3 3 4 2" xfId="5836" xr:uid="{00000000-0005-0000-0000-0000421A0000}"/>
    <cellStyle name="20% - Accent6 3 3 4 2 2" xfId="5837" xr:uid="{00000000-0005-0000-0000-0000431A0000}"/>
    <cellStyle name="20% - Accent6 3 3 4 2 2 2" xfId="5838" xr:uid="{00000000-0005-0000-0000-0000441A0000}"/>
    <cellStyle name="20% - Accent6 3 3 4 2 2 3" xfId="23353" xr:uid="{00000000-0005-0000-0000-0000451A0000}"/>
    <cellStyle name="20% - Accent6 3 3 4 2 3" xfId="5839" xr:uid="{00000000-0005-0000-0000-0000461A0000}"/>
    <cellStyle name="20% - Accent6 3 3 4 2 4" xfId="20770" xr:uid="{00000000-0005-0000-0000-0000471A0000}"/>
    <cellStyle name="20% - Accent6 3 3 4 3" xfId="5840" xr:uid="{00000000-0005-0000-0000-0000481A0000}"/>
    <cellStyle name="20% - Accent6 3 3 4 3 2" xfId="5841" xr:uid="{00000000-0005-0000-0000-0000491A0000}"/>
    <cellStyle name="20% - Accent6 3 3 4 3 3" xfId="22063" xr:uid="{00000000-0005-0000-0000-00004A1A0000}"/>
    <cellStyle name="20% - Accent6 3 3 4 4" xfId="5842" xr:uid="{00000000-0005-0000-0000-00004B1A0000}"/>
    <cellStyle name="20% - Accent6 3 3 4 5" xfId="19476" xr:uid="{00000000-0005-0000-0000-00004C1A0000}"/>
    <cellStyle name="20% - Accent6 3 3 5" xfId="5843" xr:uid="{00000000-0005-0000-0000-00004D1A0000}"/>
    <cellStyle name="20% - Accent6 3 3 5 2" xfId="5844" xr:uid="{00000000-0005-0000-0000-00004E1A0000}"/>
    <cellStyle name="20% - Accent6 3 3 5 2 2" xfId="5845" xr:uid="{00000000-0005-0000-0000-00004F1A0000}"/>
    <cellStyle name="20% - Accent6 3 3 5 2 3" xfId="22708" xr:uid="{00000000-0005-0000-0000-0000501A0000}"/>
    <cellStyle name="20% - Accent6 3 3 5 3" xfId="5846" xr:uid="{00000000-0005-0000-0000-0000511A0000}"/>
    <cellStyle name="20% - Accent6 3 3 5 4" xfId="20125" xr:uid="{00000000-0005-0000-0000-0000521A0000}"/>
    <cellStyle name="20% - Accent6 3 3 6" xfId="5847" xr:uid="{00000000-0005-0000-0000-0000531A0000}"/>
    <cellStyle name="20% - Accent6 3 3 6 2" xfId="5848" xr:uid="{00000000-0005-0000-0000-0000541A0000}"/>
    <cellStyle name="20% - Accent6 3 3 6 3" xfId="21418" xr:uid="{00000000-0005-0000-0000-0000551A0000}"/>
    <cellStyle name="20% - Accent6 3 3 7" xfId="5849" xr:uid="{00000000-0005-0000-0000-0000561A0000}"/>
    <cellStyle name="20% - Accent6 3 3 8" xfId="18818" xr:uid="{00000000-0005-0000-0000-0000571A0000}"/>
    <cellStyle name="20% - Accent6 3 4" xfId="5850" xr:uid="{00000000-0005-0000-0000-0000581A0000}"/>
    <cellStyle name="20% - Accent6 3 4 2" xfId="5851" xr:uid="{00000000-0005-0000-0000-0000591A0000}"/>
    <cellStyle name="20% - Accent6 3 4 2 2" xfId="5852" xr:uid="{00000000-0005-0000-0000-00005A1A0000}"/>
    <cellStyle name="20% - Accent6 3 4 2 2 2" xfId="5853" xr:uid="{00000000-0005-0000-0000-00005B1A0000}"/>
    <cellStyle name="20% - Accent6 3 4 2 2 2 2" xfId="5854" xr:uid="{00000000-0005-0000-0000-00005C1A0000}"/>
    <cellStyle name="20% - Accent6 3 4 2 2 2 2 2" xfId="5855" xr:uid="{00000000-0005-0000-0000-00005D1A0000}"/>
    <cellStyle name="20% - Accent6 3 4 2 2 2 2 3" xfId="23756" xr:uid="{00000000-0005-0000-0000-00005E1A0000}"/>
    <cellStyle name="20% - Accent6 3 4 2 2 2 3" xfId="5856" xr:uid="{00000000-0005-0000-0000-00005F1A0000}"/>
    <cellStyle name="20% - Accent6 3 4 2 2 2 4" xfId="21173" xr:uid="{00000000-0005-0000-0000-0000601A0000}"/>
    <cellStyle name="20% - Accent6 3 4 2 2 3" xfId="5857" xr:uid="{00000000-0005-0000-0000-0000611A0000}"/>
    <cellStyle name="20% - Accent6 3 4 2 2 3 2" xfId="5858" xr:uid="{00000000-0005-0000-0000-0000621A0000}"/>
    <cellStyle name="20% - Accent6 3 4 2 2 3 3" xfId="22466" xr:uid="{00000000-0005-0000-0000-0000631A0000}"/>
    <cellStyle name="20% - Accent6 3 4 2 2 4" xfId="5859" xr:uid="{00000000-0005-0000-0000-0000641A0000}"/>
    <cellStyle name="20% - Accent6 3 4 2 2 5" xfId="19879" xr:uid="{00000000-0005-0000-0000-0000651A0000}"/>
    <cellStyle name="20% - Accent6 3 4 2 3" xfId="5860" xr:uid="{00000000-0005-0000-0000-0000661A0000}"/>
    <cellStyle name="20% - Accent6 3 4 2 3 2" xfId="5861" xr:uid="{00000000-0005-0000-0000-0000671A0000}"/>
    <cellStyle name="20% - Accent6 3 4 2 3 2 2" xfId="5862" xr:uid="{00000000-0005-0000-0000-0000681A0000}"/>
    <cellStyle name="20% - Accent6 3 4 2 3 2 3" xfId="23111" xr:uid="{00000000-0005-0000-0000-0000691A0000}"/>
    <cellStyle name="20% - Accent6 3 4 2 3 3" xfId="5863" xr:uid="{00000000-0005-0000-0000-00006A1A0000}"/>
    <cellStyle name="20% - Accent6 3 4 2 3 4" xfId="20528" xr:uid="{00000000-0005-0000-0000-00006B1A0000}"/>
    <cellStyle name="20% - Accent6 3 4 2 4" xfId="5864" xr:uid="{00000000-0005-0000-0000-00006C1A0000}"/>
    <cellStyle name="20% - Accent6 3 4 2 4 2" xfId="5865" xr:uid="{00000000-0005-0000-0000-00006D1A0000}"/>
    <cellStyle name="20% - Accent6 3 4 2 4 3" xfId="21821" xr:uid="{00000000-0005-0000-0000-00006E1A0000}"/>
    <cellStyle name="20% - Accent6 3 4 2 5" xfId="5866" xr:uid="{00000000-0005-0000-0000-00006F1A0000}"/>
    <cellStyle name="20% - Accent6 3 4 2 6" xfId="19231" xr:uid="{00000000-0005-0000-0000-0000701A0000}"/>
    <cellStyle name="20% - Accent6 3 4 3" xfId="5867" xr:uid="{00000000-0005-0000-0000-0000711A0000}"/>
    <cellStyle name="20% - Accent6 3 4 3 2" xfId="5868" xr:uid="{00000000-0005-0000-0000-0000721A0000}"/>
    <cellStyle name="20% - Accent6 3 4 3 2 2" xfId="5869" xr:uid="{00000000-0005-0000-0000-0000731A0000}"/>
    <cellStyle name="20% - Accent6 3 4 3 2 2 2" xfId="5870" xr:uid="{00000000-0005-0000-0000-0000741A0000}"/>
    <cellStyle name="20% - Accent6 3 4 3 2 2 3" xfId="23434" xr:uid="{00000000-0005-0000-0000-0000751A0000}"/>
    <cellStyle name="20% - Accent6 3 4 3 2 3" xfId="5871" xr:uid="{00000000-0005-0000-0000-0000761A0000}"/>
    <cellStyle name="20% - Accent6 3 4 3 2 4" xfId="20851" xr:uid="{00000000-0005-0000-0000-0000771A0000}"/>
    <cellStyle name="20% - Accent6 3 4 3 3" xfId="5872" xr:uid="{00000000-0005-0000-0000-0000781A0000}"/>
    <cellStyle name="20% - Accent6 3 4 3 3 2" xfId="5873" xr:uid="{00000000-0005-0000-0000-0000791A0000}"/>
    <cellStyle name="20% - Accent6 3 4 3 3 3" xfId="22144" xr:uid="{00000000-0005-0000-0000-00007A1A0000}"/>
    <cellStyle name="20% - Accent6 3 4 3 4" xfId="5874" xr:uid="{00000000-0005-0000-0000-00007B1A0000}"/>
    <cellStyle name="20% - Accent6 3 4 3 5" xfId="19557" xr:uid="{00000000-0005-0000-0000-00007C1A0000}"/>
    <cellStyle name="20% - Accent6 3 4 4" xfId="5875" xr:uid="{00000000-0005-0000-0000-00007D1A0000}"/>
    <cellStyle name="20% - Accent6 3 4 4 2" xfId="5876" xr:uid="{00000000-0005-0000-0000-00007E1A0000}"/>
    <cellStyle name="20% - Accent6 3 4 4 2 2" xfId="5877" xr:uid="{00000000-0005-0000-0000-00007F1A0000}"/>
    <cellStyle name="20% - Accent6 3 4 4 2 3" xfId="22789" xr:uid="{00000000-0005-0000-0000-0000801A0000}"/>
    <cellStyle name="20% - Accent6 3 4 4 3" xfId="5878" xr:uid="{00000000-0005-0000-0000-0000811A0000}"/>
    <cellStyle name="20% - Accent6 3 4 4 4" xfId="20206" xr:uid="{00000000-0005-0000-0000-0000821A0000}"/>
    <cellStyle name="20% - Accent6 3 4 5" xfId="5879" xr:uid="{00000000-0005-0000-0000-0000831A0000}"/>
    <cellStyle name="20% - Accent6 3 4 5 2" xfId="5880" xr:uid="{00000000-0005-0000-0000-0000841A0000}"/>
    <cellStyle name="20% - Accent6 3 4 5 3" xfId="21499" xr:uid="{00000000-0005-0000-0000-0000851A0000}"/>
    <cellStyle name="20% - Accent6 3 4 6" xfId="5881" xr:uid="{00000000-0005-0000-0000-0000861A0000}"/>
    <cellStyle name="20% - Accent6 3 4 7" xfId="18905" xr:uid="{00000000-0005-0000-0000-0000871A0000}"/>
    <cellStyle name="20% - Accent6 3 5" xfId="5882" xr:uid="{00000000-0005-0000-0000-0000881A0000}"/>
    <cellStyle name="20% - Accent6 3 5 2" xfId="5883" xr:uid="{00000000-0005-0000-0000-0000891A0000}"/>
    <cellStyle name="20% - Accent6 3 5 2 2" xfId="5884" xr:uid="{00000000-0005-0000-0000-00008A1A0000}"/>
    <cellStyle name="20% - Accent6 3 5 2 2 2" xfId="5885" xr:uid="{00000000-0005-0000-0000-00008B1A0000}"/>
    <cellStyle name="20% - Accent6 3 5 2 2 2 2" xfId="5886" xr:uid="{00000000-0005-0000-0000-00008C1A0000}"/>
    <cellStyle name="20% - Accent6 3 5 2 2 2 3" xfId="23595" xr:uid="{00000000-0005-0000-0000-00008D1A0000}"/>
    <cellStyle name="20% - Accent6 3 5 2 2 3" xfId="5887" xr:uid="{00000000-0005-0000-0000-00008E1A0000}"/>
    <cellStyle name="20% - Accent6 3 5 2 2 4" xfId="21012" xr:uid="{00000000-0005-0000-0000-00008F1A0000}"/>
    <cellStyle name="20% - Accent6 3 5 2 3" xfId="5888" xr:uid="{00000000-0005-0000-0000-0000901A0000}"/>
    <cellStyle name="20% - Accent6 3 5 2 3 2" xfId="5889" xr:uid="{00000000-0005-0000-0000-0000911A0000}"/>
    <cellStyle name="20% - Accent6 3 5 2 3 3" xfId="22305" xr:uid="{00000000-0005-0000-0000-0000921A0000}"/>
    <cellStyle name="20% - Accent6 3 5 2 4" xfId="5890" xr:uid="{00000000-0005-0000-0000-0000931A0000}"/>
    <cellStyle name="20% - Accent6 3 5 2 5" xfId="19718" xr:uid="{00000000-0005-0000-0000-0000941A0000}"/>
    <cellStyle name="20% - Accent6 3 5 3" xfId="5891" xr:uid="{00000000-0005-0000-0000-0000951A0000}"/>
    <cellStyle name="20% - Accent6 3 5 3 2" xfId="5892" xr:uid="{00000000-0005-0000-0000-0000961A0000}"/>
    <cellStyle name="20% - Accent6 3 5 3 2 2" xfId="5893" xr:uid="{00000000-0005-0000-0000-0000971A0000}"/>
    <cellStyle name="20% - Accent6 3 5 3 2 3" xfId="22950" xr:uid="{00000000-0005-0000-0000-0000981A0000}"/>
    <cellStyle name="20% - Accent6 3 5 3 3" xfId="5894" xr:uid="{00000000-0005-0000-0000-0000991A0000}"/>
    <cellStyle name="20% - Accent6 3 5 3 4" xfId="20367" xr:uid="{00000000-0005-0000-0000-00009A1A0000}"/>
    <cellStyle name="20% - Accent6 3 5 4" xfId="5895" xr:uid="{00000000-0005-0000-0000-00009B1A0000}"/>
    <cellStyle name="20% - Accent6 3 5 4 2" xfId="5896" xr:uid="{00000000-0005-0000-0000-00009C1A0000}"/>
    <cellStyle name="20% - Accent6 3 5 4 3" xfId="21660" xr:uid="{00000000-0005-0000-0000-00009D1A0000}"/>
    <cellStyle name="20% - Accent6 3 5 5" xfId="5897" xr:uid="{00000000-0005-0000-0000-00009E1A0000}"/>
    <cellStyle name="20% - Accent6 3 5 6" xfId="19070" xr:uid="{00000000-0005-0000-0000-00009F1A0000}"/>
    <cellStyle name="20% - Accent6 3 6" xfId="5898" xr:uid="{00000000-0005-0000-0000-0000A01A0000}"/>
    <cellStyle name="20% - Accent6 3 6 2" xfId="5899" xr:uid="{00000000-0005-0000-0000-0000A11A0000}"/>
    <cellStyle name="20% - Accent6 3 6 2 2" xfId="5900" xr:uid="{00000000-0005-0000-0000-0000A21A0000}"/>
    <cellStyle name="20% - Accent6 3 6 2 2 2" xfId="5901" xr:uid="{00000000-0005-0000-0000-0000A31A0000}"/>
    <cellStyle name="20% - Accent6 3 6 2 2 3" xfId="23272" xr:uid="{00000000-0005-0000-0000-0000A41A0000}"/>
    <cellStyle name="20% - Accent6 3 6 2 3" xfId="5902" xr:uid="{00000000-0005-0000-0000-0000A51A0000}"/>
    <cellStyle name="20% - Accent6 3 6 2 4" xfId="20689" xr:uid="{00000000-0005-0000-0000-0000A61A0000}"/>
    <cellStyle name="20% - Accent6 3 6 3" xfId="5903" xr:uid="{00000000-0005-0000-0000-0000A71A0000}"/>
    <cellStyle name="20% - Accent6 3 6 3 2" xfId="5904" xr:uid="{00000000-0005-0000-0000-0000A81A0000}"/>
    <cellStyle name="20% - Accent6 3 6 3 3" xfId="21982" xr:uid="{00000000-0005-0000-0000-0000A91A0000}"/>
    <cellStyle name="20% - Accent6 3 6 4" xfId="5905" xr:uid="{00000000-0005-0000-0000-0000AA1A0000}"/>
    <cellStyle name="20% - Accent6 3 6 5" xfId="19396" xr:uid="{00000000-0005-0000-0000-0000AB1A0000}"/>
    <cellStyle name="20% - Accent6 3 7" xfId="5906" xr:uid="{00000000-0005-0000-0000-0000AC1A0000}"/>
    <cellStyle name="20% - Accent6 3 7 2" xfId="5907" xr:uid="{00000000-0005-0000-0000-0000AD1A0000}"/>
    <cellStyle name="20% - Accent6 3 7 2 2" xfId="5908" xr:uid="{00000000-0005-0000-0000-0000AE1A0000}"/>
    <cellStyle name="20% - Accent6 3 7 2 3" xfId="22627" xr:uid="{00000000-0005-0000-0000-0000AF1A0000}"/>
    <cellStyle name="20% - Accent6 3 7 3" xfId="5909" xr:uid="{00000000-0005-0000-0000-0000B01A0000}"/>
    <cellStyle name="20% - Accent6 3 7 4" xfId="20044" xr:uid="{00000000-0005-0000-0000-0000B11A0000}"/>
    <cellStyle name="20% - Accent6 3 8" xfId="5910" xr:uid="{00000000-0005-0000-0000-0000B21A0000}"/>
    <cellStyle name="20% - Accent6 3 8 2" xfId="5911" xr:uid="{00000000-0005-0000-0000-0000B31A0000}"/>
    <cellStyle name="20% - Accent6 3 8 3" xfId="21337" xr:uid="{00000000-0005-0000-0000-0000B41A0000}"/>
    <cellStyle name="20% - Accent6 3 9" xfId="5912" xr:uid="{00000000-0005-0000-0000-0000B51A0000}"/>
    <cellStyle name="20% - Accent6 4" xfId="5913" xr:uid="{00000000-0005-0000-0000-0000B61A0000}"/>
    <cellStyle name="20% - Accent6 4 2" xfId="5914" xr:uid="{00000000-0005-0000-0000-0000B71A0000}"/>
    <cellStyle name="20% - Accent6 4 2 2" xfId="5915" xr:uid="{00000000-0005-0000-0000-0000B81A0000}"/>
    <cellStyle name="20% - Accent6 4 2 2 2" xfId="5916" xr:uid="{00000000-0005-0000-0000-0000B91A0000}"/>
    <cellStyle name="20% - Accent6 4 2 2 2 2" xfId="5917" xr:uid="{00000000-0005-0000-0000-0000BA1A0000}"/>
    <cellStyle name="20% - Accent6 4 2 2 2 2 2" xfId="5918" xr:uid="{00000000-0005-0000-0000-0000BB1A0000}"/>
    <cellStyle name="20% - Accent6 4 2 2 2 2 2 2" xfId="5919" xr:uid="{00000000-0005-0000-0000-0000BC1A0000}"/>
    <cellStyle name="20% - Accent6 4 2 2 2 2 2 2 2" xfId="5920" xr:uid="{00000000-0005-0000-0000-0000BD1A0000}"/>
    <cellStyle name="20% - Accent6 4 2 2 2 2 2 2 3" xfId="23856" xr:uid="{00000000-0005-0000-0000-0000BE1A0000}"/>
    <cellStyle name="20% - Accent6 4 2 2 2 2 2 3" xfId="5921" xr:uid="{00000000-0005-0000-0000-0000BF1A0000}"/>
    <cellStyle name="20% - Accent6 4 2 2 2 2 2 4" xfId="21273" xr:uid="{00000000-0005-0000-0000-0000C01A0000}"/>
    <cellStyle name="20% - Accent6 4 2 2 2 2 3" xfId="5922" xr:uid="{00000000-0005-0000-0000-0000C11A0000}"/>
    <cellStyle name="20% - Accent6 4 2 2 2 2 3 2" xfId="5923" xr:uid="{00000000-0005-0000-0000-0000C21A0000}"/>
    <cellStyle name="20% - Accent6 4 2 2 2 2 3 3" xfId="22566" xr:uid="{00000000-0005-0000-0000-0000C31A0000}"/>
    <cellStyle name="20% - Accent6 4 2 2 2 2 4" xfId="5924" xr:uid="{00000000-0005-0000-0000-0000C41A0000}"/>
    <cellStyle name="20% - Accent6 4 2 2 2 2 5" xfId="19979" xr:uid="{00000000-0005-0000-0000-0000C51A0000}"/>
    <cellStyle name="20% - Accent6 4 2 2 2 3" xfId="5925" xr:uid="{00000000-0005-0000-0000-0000C61A0000}"/>
    <cellStyle name="20% - Accent6 4 2 2 2 3 2" xfId="5926" xr:uid="{00000000-0005-0000-0000-0000C71A0000}"/>
    <cellStyle name="20% - Accent6 4 2 2 2 3 2 2" xfId="5927" xr:uid="{00000000-0005-0000-0000-0000C81A0000}"/>
    <cellStyle name="20% - Accent6 4 2 2 2 3 2 3" xfId="23211" xr:uid="{00000000-0005-0000-0000-0000C91A0000}"/>
    <cellStyle name="20% - Accent6 4 2 2 2 3 3" xfId="5928" xr:uid="{00000000-0005-0000-0000-0000CA1A0000}"/>
    <cellStyle name="20% - Accent6 4 2 2 2 3 4" xfId="20628" xr:uid="{00000000-0005-0000-0000-0000CB1A0000}"/>
    <cellStyle name="20% - Accent6 4 2 2 2 4" xfId="5929" xr:uid="{00000000-0005-0000-0000-0000CC1A0000}"/>
    <cellStyle name="20% - Accent6 4 2 2 2 4 2" xfId="5930" xr:uid="{00000000-0005-0000-0000-0000CD1A0000}"/>
    <cellStyle name="20% - Accent6 4 2 2 2 4 3" xfId="21921" xr:uid="{00000000-0005-0000-0000-0000CE1A0000}"/>
    <cellStyle name="20% - Accent6 4 2 2 2 5" xfId="5931" xr:uid="{00000000-0005-0000-0000-0000CF1A0000}"/>
    <cellStyle name="20% - Accent6 4 2 2 2 6" xfId="19331" xr:uid="{00000000-0005-0000-0000-0000D01A0000}"/>
    <cellStyle name="20% - Accent6 4 2 2 3" xfId="5932" xr:uid="{00000000-0005-0000-0000-0000D11A0000}"/>
    <cellStyle name="20% - Accent6 4 2 2 3 2" xfId="5933" xr:uid="{00000000-0005-0000-0000-0000D21A0000}"/>
    <cellStyle name="20% - Accent6 4 2 2 3 2 2" xfId="5934" xr:uid="{00000000-0005-0000-0000-0000D31A0000}"/>
    <cellStyle name="20% - Accent6 4 2 2 3 2 2 2" xfId="5935" xr:uid="{00000000-0005-0000-0000-0000D41A0000}"/>
    <cellStyle name="20% - Accent6 4 2 2 3 2 2 3" xfId="23534" xr:uid="{00000000-0005-0000-0000-0000D51A0000}"/>
    <cellStyle name="20% - Accent6 4 2 2 3 2 3" xfId="5936" xr:uid="{00000000-0005-0000-0000-0000D61A0000}"/>
    <cellStyle name="20% - Accent6 4 2 2 3 2 4" xfId="20951" xr:uid="{00000000-0005-0000-0000-0000D71A0000}"/>
    <cellStyle name="20% - Accent6 4 2 2 3 3" xfId="5937" xr:uid="{00000000-0005-0000-0000-0000D81A0000}"/>
    <cellStyle name="20% - Accent6 4 2 2 3 3 2" xfId="5938" xr:uid="{00000000-0005-0000-0000-0000D91A0000}"/>
    <cellStyle name="20% - Accent6 4 2 2 3 3 3" xfId="22244" xr:uid="{00000000-0005-0000-0000-0000DA1A0000}"/>
    <cellStyle name="20% - Accent6 4 2 2 3 4" xfId="5939" xr:uid="{00000000-0005-0000-0000-0000DB1A0000}"/>
    <cellStyle name="20% - Accent6 4 2 2 3 5" xfId="19657" xr:uid="{00000000-0005-0000-0000-0000DC1A0000}"/>
    <cellStyle name="20% - Accent6 4 2 2 4" xfId="5940" xr:uid="{00000000-0005-0000-0000-0000DD1A0000}"/>
    <cellStyle name="20% - Accent6 4 2 2 4 2" xfId="5941" xr:uid="{00000000-0005-0000-0000-0000DE1A0000}"/>
    <cellStyle name="20% - Accent6 4 2 2 4 2 2" xfId="5942" xr:uid="{00000000-0005-0000-0000-0000DF1A0000}"/>
    <cellStyle name="20% - Accent6 4 2 2 4 2 3" xfId="22889" xr:uid="{00000000-0005-0000-0000-0000E01A0000}"/>
    <cellStyle name="20% - Accent6 4 2 2 4 3" xfId="5943" xr:uid="{00000000-0005-0000-0000-0000E11A0000}"/>
    <cellStyle name="20% - Accent6 4 2 2 4 4" xfId="20306" xr:uid="{00000000-0005-0000-0000-0000E21A0000}"/>
    <cellStyle name="20% - Accent6 4 2 2 5" xfId="5944" xr:uid="{00000000-0005-0000-0000-0000E31A0000}"/>
    <cellStyle name="20% - Accent6 4 2 2 5 2" xfId="5945" xr:uid="{00000000-0005-0000-0000-0000E41A0000}"/>
    <cellStyle name="20% - Accent6 4 2 2 5 3" xfId="21599" xr:uid="{00000000-0005-0000-0000-0000E51A0000}"/>
    <cellStyle name="20% - Accent6 4 2 2 6" xfId="5946" xr:uid="{00000000-0005-0000-0000-0000E61A0000}"/>
    <cellStyle name="20% - Accent6 4 2 2 7" xfId="19005" xr:uid="{00000000-0005-0000-0000-0000E71A0000}"/>
    <cellStyle name="20% - Accent6 4 2 3" xfId="5947" xr:uid="{00000000-0005-0000-0000-0000E81A0000}"/>
    <cellStyle name="20% - Accent6 4 2 3 2" xfId="5948" xr:uid="{00000000-0005-0000-0000-0000E91A0000}"/>
    <cellStyle name="20% - Accent6 4 2 3 2 2" xfId="5949" xr:uid="{00000000-0005-0000-0000-0000EA1A0000}"/>
    <cellStyle name="20% - Accent6 4 2 3 2 2 2" xfId="5950" xr:uid="{00000000-0005-0000-0000-0000EB1A0000}"/>
    <cellStyle name="20% - Accent6 4 2 3 2 2 2 2" xfId="5951" xr:uid="{00000000-0005-0000-0000-0000EC1A0000}"/>
    <cellStyle name="20% - Accent6 4 2 3 2 2 2 3" xfId="23695" xr:uid="{00000000-0005-0000-0000-0000ED1A0000}"/>
    <cellStyle name="20% - Accent6 4 2 3 2 2 3" xfId="5952" xr:uid="{00000000-0005-0000-0000-0000EE1A0000}"/>
    <cellStyle name="20% - Accent6 4 2 3 2 2 4" xfId="21112" xr:uid="{00000000-0005-0000-0000-0000EF1A0000}"/>
    <cellStyle name="20% - Accent6 4 2 3 2 3" xfId="5953" xr:uid="{00000000-0005-0000-0000-0000F01A0000}"/>
    <cellStyle name="20% - Accent6 4 2 3 2 3 2" xfId="5954" xr:uid="{00000000-0005-0000-0000-0000F11A0000}"/>
    <cellStyle name="20% - Accent6 4 2 3 2 3 3" xfId="22405" xr:uid="{00000000-0005-0000-0000-0000F21A0000}"/>
    <cellStyle name="20% - Accent6 4 2 3 2 4" xfId="5955" xr:uid="{00000000-0005-0000-0000-0000F31A0000}"/>
    <cellStyle name="20% - Accent6 4 2 3 2 5" xfId="19818" xr:uid="{00000000-0005-0000-0000-0000F41A0000}"/>
    <cellStyle name="20% - Accent6 4 2 3 3" xfId="5956" xr:uid="{00000000-0005-0000-0000-0000F51A0000}"/>
    <cellStyle name="20% - Accent6 4 2 3 3 2" xfId="5957" xr:uid="{00000000-0005-0000-0000-0000F61A0000}"/>
    <cellStyle name="20% - Accent6 4 2 3 3 2 2" xfId="5958" xr:uid="{00000000-0005-0000-0000-0000F71A0000}"/>
    <cellStyle name="20% - Accent6 4 2 3 3 2 3" xfId="23050" xr:uid="{00000000-0005-0000-0000-0000F81A0000}"/>
    <cellStyle name="20% - Accent6 4 2 3 3 3" xfId="5959" xr:uid="{00000000-0005-0000-0000-0000F91A0000}"/>
    <cellStyle name="20% - Accent6 4 2 3 3 4" xfId="20467" xr:uid="{00000000-0005-0000-0000-0000FA1A0000}"/>
    <cellStyle name="20% - Accent6 4 2 3 4" xfId="5960" xr:uid="{00000000-0005-0000-0000-0000FB1A0000}"/>
    <cellStyle name="20% - Accent6 4 2 3 4 2" xfId="5961" xr:uid="{00000000-0005-0000-0000-0000FC1A0000}"/>
    <cellStyle name="20% - Accent6 4 2 3 4 3" xfId="21760" xr:uid="{00000000-0005-0000-0000-0000FD1A0000}"/>
    <cellStyle name="20% - Accent6 4 2 3 5" xfId="5962" xr:uid="{00000000-0005-0000-0000-0000FE1A0000}"/>
    <cellStyle name="20% - Accent6 4 2 3 6" xfId="19170" xr:uid="{00000000-0005-0000-0000-0000FF1A0000}"/>
    <cellStyle name="20% - Accent6 4 2 4" xfId="5963" xr:uid="{00000000-0005-0000-0000-0000001B0000}"/>
    <cellStyle name="20% - Accent6 4 2 4 2" xfId="5964" xr:uid="{00000000-0005-0000-0000-0000011B0000}"/>
    <cellStyle name="20% - Accent6 4 2 4 2 2" xfId="5965" xr:uid="{00000000-0005-0000-0000-0000021B0000}"/>
    <cellStyle name="20% - Accent6 4 2 4 2 2 2" xfId="5966" xr:uid="{00000000-0005-0000-0000-0000031B0000}"/>
    <cellStyle name="20% - Accent6 4 2 4 2 2 3" xfId="23373" xr:uid="{00000000-0005-0000-0000-0000041B0000}"/>
    <cellStyle name="20% - Accent6 4 2 4 2 3" xfId="5967" xr:uid="{00000000-0005-0000-0000-0000051B0000}"/>
    <cellStyle name="20% - Accent6 4 2 4 2 4" xfId="20790" xr:uid="{00000000-0005-0000-0000-0000061B0000}"/>
    <cellStyle name="20% - Accent6 4 2 4 3" xfId="5968" xr:uid="{00000000-0005-0000-0000-0000071B0000}"/>
    <cellStyle name="20% - Accent6 4 2 4 3 2" xfId="5969" xr:uid="{00000000-0005-0000-0000-0000081B0000}"/>
    <cellStyle name="20% - Accent6 4 2 4 3 3" xfId="22083" xr:uid="{00000000-0005-0000-0000-0000091B0000}"/>
    <cellStyle name="20% - Accent6 4 2 4 4" xfId="5970" xr:uid="{00000000-0005-0000-0000-00000A1B0000}"/>
    <cellStyle name="20% - Accent6 4 2 4 5" xfId="19496" xr:uid="{00000000-0005-0000-0000-00000B1B0000}"/>
    <cellStyle name="20% - Accent6 4 2 5" xfId="5971" xr:uid="{00000000-0005-0000-0000-00000C1B0000}"/>
    <cellStyle name="20% - Accent6 4 2 5 2" xfId="5972" xr:uid="{00000000-0005-0000-0000-00000D1B0000}"/>
    <cellStyle name="20% - Accent6 4 2 5 2 2" xfId="5973" xr:uid="{00000000-0005-0000-0000-00000E1B0000}"/>
    <cellStyle name="20% - Accent6 4 2 5 2 3" xfId="22728" xr:uid="{00000000-0005-0000-0000-00000F1B0000}"/>
    <cellStyle name="20% - Accent6 4 2 5 3" xfId="5974" xr:uid="{00000000-0005-0000-0000-0000101B0000}"/>
    <cellStyle name="20% - Accent6 4 2 5 4" xfId="20145" xr:uid="{00000000-0005-0000-0000-0000111B0000}"/>
    <cellStyle name="20% - Accent6 4 2 6" xfId="5975" xr:uid="{00000000-0005-0000-0000-0000121B0000}"/>
    <cellStyle name="20% - Accent6 4 2 6 2" xfId="5976" xr:uid="{00000000-0005-0000-0000-0000131B0000}"/>
    <cellStyle name="20% - Accent6 4 2 6 3" xfId="21438" xr:uid="{00000000-0005-0000-0000-0000141B0000}"/>
    <cellStyle name="20% - Accent6 4 2 7" xfId="5977" xr:uid="{00000000-0005-0000-0000-0000151B0000}"/>
    <cellStyle name="20% - Accent6 4 2 8" xfId="18839" xr:uid="{00000000-0005-0000-0000-0000161B0000}"/>
    <cellStyle name="20% - Accent6 4 3" xfId="5978" xr:uid="{00000000-0005-0000-0000-0000171B0000}"/>
    <cellStyle name="20% - Accent6 4 3 2" xfId="5979" xr:uid="{00000000-0005-0000-0000-0000181B0000}"/>
    <cellStyle name="20% - Accent6 4 3 2 2" xfId="5980" xr:uid="{00000000-0005-0000-0000-0000191B0000}"/>
    <cellStyle name="20% - Accent6 4 3 2 2 2" xfId="5981" xr:uid="{00000000-0005-0000-0000-00001A1B0000}"/>
    <cellStyle name="20% - Accent6 4 3 2 2 2 2" xfId="5982" xr:uid="{00000000-0005-0000-0000-00001B1B0000}"/>
    <cellStyle name="20% - Accent6 4 3 2 2 2 2 2" xfId="5983" xr:uid="{00000000-0005-0000-0000-00001C1B0000}"/>
    <cellStyle name="20% - Accent6 4 3 2 2 2 2 3" xfId="23776" xr:uid="{00000000-0005-0000-0000-00001D1B0000}"/>
    <cellStyle name="20% - Accent6 4 3 2 2 2 3" xfId="5984" xr:uid="{00000000-0005-0000-0000-00001E1B0000}"/>
    <cellStyle name="20% - Accent6 4 3 2 2 2 4" xfId="21193" xr:uid="{00000000-0005-0000-0000-00001F1B0000}"/>
    <cellStyle name="20% - Accent6 4 3 2 2 3" xfId="5985" xr:uid="{00000000-0005-0000-0000-0000201B0000}"/>
    <cellStyle name="20% - Accent6 4 3 2 2 3 2" xfId="5986" xr:uid="{00000000-0005-0000-0000-0000211B0000}"/>
    <cellStyle name="20% - Accent6 4 3 2 2 3 3" xfId="22486" xr:uid="{00000000-0005-0000-0000-0000221B0000}"/>
    <cellStyle name="20% - Accent6 4 3 2 2 4" xfId="5987" xr:uid="{00000000-0005-0000-0000-0000231B0000}"/>
    <cellStyle name="20% - Accent6 4 3 2 2 5" xfId="19899" xr:uid="{00000000-0005-0000-0000-0000241B0000}"/>
    <cellStyle name="20% - Accent6 4 3 2 3" xfId="5988" xr:uid="{00000000-0005-0000-0000-0000251B0000}"/>
    <cellStyle name="20% - Accent6 4 3 2 3 2" xfId="5989" xr:uid="{00000000-0005-0000-0000-0000261B0000}"/>
    <cellStyle name="20% - Accent6 4 3 2 3 2 2" xfId="5990" xr:uid="{00000000-0005-0000-0000-0000271B0000}"/>
    <cellStyle name="20% - Accent6 4 3 2 3 2 3" xfId="23131" xr:uid="{00000000-0005-0000-0000-0000281B0000}"/>
    <cellStyle name="20% - Accent6 4 3 2 3 3" xfId="5991" xr:uid="{00000000-0005-0000-0000-0000291B0000}"/>
    <cellStyle name="20% - Accent6 4 3 2 3 4" xfId="20548" xr:uid="{00000000-0005-0000-0000-00002A1B0000}"/>
    <cellStyle name="20% - Accent6 4 3 2 4" xfId="5992" xr:uid="{00000000-0005-0000-0000-00002B1B0000}"/>
    <cellStyle name="20% - Accent6 4 3 2 4 2" xfId="5993" xr:uid="{00000000-0005-0000-0000-00002C1B0000}"/>
    <cellStyle name="20% - Accent6 4 3 2 4 3" xfId="21841" xr:uid="{00000000-0005-0000-0000-00002D1B0000}"/>
    <cellStyle name="20% - Accent6 4 3 2 5" xfId="5994" xr:uid="{00000000-0005-0000-0000-00002E1B0000}"/>
    <cellStyle name="20% - Accent6 4 3 2 6" xfId="19251" xr:uid="{00000000-0005-0000-0000-00002F1B0000}"/>
    <cellStyle name="20% - Accent6 4 3 3" xfId="5995" xr:uid="{00000000-0005-0000-0000-0000301B0000}"/>
    <cellStyle name="20% - Accent6 4 3 3 2" xfId="5996" xr:uid="{00000000-0005-0000-0000-0000311B0000}"/>
    <cellStyle name="20% - Accent6 4 3 3 2 2" xfId="5997" xr:uid="{00000000-0005-0000-0000-0000321B0000}"/>
    <cellStyle name="20% - Accent6 4 3 3 2 2 2" xfId="5998" xr:uid="{00000000-0005-0000-0000-0000331B0000}"/>
    <cellStyle name="20% - Accent6 4 3 3 2 2 3" xfId="23454" xr:uid="{00000000-0005-0000-0000-0000341B0000}"/>
    <cellStyle name="20% - Accent6 4 3 3 2 3" xfId="5999" xr:uid="{00000000-0005-0000-0000-0000351B0000}"/>
    <cellStyle name="20% - Accent6 4 3 3 2 4" xfId="20871" xr:uid="{00000000-0005-0000-0000-0000361B0000}"/>
    <cellStyle name="20% - Accent6 4 3 3 3" xfId="6000" xr:uid="{00000000-0005-0000-0000-0000371B0000}"/>
    <cellStyle name="20% - Accent6 4 3 3 3 2" xfId="6001" xr:uid="{00000000-0005-0000-0000-0000381B0000}"/>
    <cellStyle name="20% - Accent6 4 3 3 3 3" xfId="22164" xr:uid="{00000000-0005-0000-0000-0000391B0000}"/>
    <cellStyle name="20% - Accent6 4 3 3 4" xfId="6002" xr:uid="{00000000-0005-0000-0000-00003A1B0000}"/>
    <cellStyle name="20% - Accent6 4 3 3 5" xfId="19577" xr:uid="{00000000-0005-0000-0000-00003B1B0000}"/>
    <cellStyle name="20% - Accent6 4 3 4" xfId="6003" xr:uid="{00000000-0005-0000-0000-00003C1B0000}"/>
    <cellStyle name="20% - Accent6 4 3 4 2" xfId="6004" xr:uid="{00000000-0005-0000-0000-00003D1B0000}"/>
    <cellStyle name="20% - Accent6 4 3 4 2 2" xfId="6005" xr:uid="{00000000-0005-0000-0000-00003E1B0000}"/>
    <cellStyle name="20% - Accent6 4 3 4 2 3" xfId="22809" xr:uid="{00000000-0005-0000-0000-00003F1B0000}"/>
    <cellStyle name="20% - Accent6 4 3 4 3" xfId="6006" xr:uid="{00000000-0005-0000-0000-0000401B0000}"/>
    <cellStyle name="20% - Accent6 4 3 4 4" xfId="20226" xr:uid="{00000000-0005-0000-0000-0000411B0000}"/>
    <cellStyle name="20% - Accent6 4 3 5" xfId="6007" xr:uid="{00000000-0005-0000-0000-0000421B0000}"/>
    <cellStyle name="20% - Accent6 4 3 5 2" xfId="6008" xr:uid="{00000000-0005-0000-0000-0000431B0000}"/>
    <cellStyle name="20% - Accent6 4 3 5 3" xfId="21519" xr:uid="{00000000-0005-0000-0000-0000441B0000}"/>
    <cellStyle name="20% - Accent6 4 3 6" xfId="6009" xr:uid="{00000000-0005-0000-0000-0000451B0000}"/>
    <cellStyle name="20% - Accent6 4 3 7" xfId="18925" xr:uid="{00000000-0005-0000-0000-0000461B0000}"/>
    <cellStyle name="20% - Accent6 4 4" xfId="6010" xr:uid="{00000000-0005-0000-0000-0000471B0000}"/>
    <cellStyle name="20% - Accent6 4 4 2" xfId="6011" xr:uid="{00000000-0005-0000-0000-0000481B0000}"/>
    <cellStyle name="20% - Accent6 4 4 2 2" xfId="6012" xr:uid="{00000000-0005-0000-0000-0000491B0000}"/>
    <cellStyle name="20% - Accent6 4 4 2 2 2" xfId="6013" xr:uid="{00000000-0005-0000-0000-00004A1B0000}"/>
    <cellStyle name="20% - Accent6 4 4 2 2 2 2" xfId="6014" xr:uid="{00000000-0005-0000-0000-00004B1B0000}"/>
    <cellStyle name="20% - Accent6 4 4 2 2 2 3" xfId="23615" xr:uid="{00000000-0005-0000-0000-00004C1B0000}"/>
    <cellStyle name="20% - Accent6 4 4 2 2 3" xfId="6015" xr:uid="{00000000-0005-0000-0000-00004D1B0000}"/>
    <cellStyle name="20% - Accent6 4 4 2 2 4" xfId="21032" xr:uid="{00000000-0005-0000-0000-00004E1B0000}"/>
    <cellStyle name="20% - Accent6 4 4 2 3" xfId="6016" xr:uid="{00000000-0005-0000-0000-00004F1B0000}"/>
    <cellStyle name="20% - Accent6 4 4 2 3 2" xfId="6017" xr:uid="{00000000-0005-0000-0000-0000501B0000}"/>
    <cellStyle name="20% - Accent6 4 4 2 3 3" xfId="22325" xr:uid="{00000000-0005-0000-0000-0000511B0000}"/>
    <cellStyle name="20% - Accent6 4 4 2 4" xfId="6018" xr:uid="{00000000-0005-0000-0000-0000521B0000}"/>
    <cellStyle name="20% - Accent6 4 4 2 5" xfId="19738" xr:uid="{00000000-0005-0000-0000-0000531B0000}"/>
    <cellStyle name="20% - Accent6 4 4 3" xfId="6019" xr:uid="{00000000-0005-0000-0000-0000541B0000}"/>
    <cellStyle name="20% - Accent6 4 4 3 2" xfId="6020" xr:uid="{00000000-0005-0000-0000-0000551B0000}"/>
    <cellStyle name="20% - Accent6 4 4 3 2 2" xfId="6021" xr:uid="{00000000-0005-0000-0000-0000561B0000}"/>
    <cellStyle name="20% - Accent6 4 4 3 2 3" xfId="22970" xr:uid="{00000000-0005-0000-0000-0000571B0000}"/>
    <cellStyle name="20% - Accent6 4 4 3 3" xfId="6022" xr:uid="{00000000-0005-0000-0000-0000581B0000}"/>
    <cellStyle name="20% - Accent6 4 4 3 4" xfId="20387" xr:uid="{00000000-0005-0000-0000-0000591B0000}"/>
    <cellStyle name="20% - Accent6 4 4 4" xfId="6023" xr:uid="{00000000-0005-0000-0000-00005A1B0000}"/>
    <cellStyle name="20% - Accent6 4 4 4 2" xfId="6024" xr:uid="{00000000-0005-0000-0000-00005B1B0000}"/>
    <cellStyle name="20% - Accent6 4 4 4 3" xfId="21680" xr:uid="{00000000-0005-0000-0000-00005C1B0000}"/>
    <cellStyle name="20% - Accent6 4 4 5" xfId="6025" xr:uid="{00000000-0005-0000-0000-00005D1B0000}"/>
    <cellStyle name="20% - Accent6 4 4 6" xfId="19090" xr:uid="{00000000-0005-0000-0000-00005E1B0000}"/>
    <cellStyle name="20% - Accent6 4 5" xfId="6026" xr:uid="{00000000-0005-0000-0000-00005F1B0000}"/>
    <cellStyle name="20% - Accent6 4 5 2" xfId="6027" xr:uid="{00000000-0005-0000-0000-0000601B0000}"/>
    <cellStyle name="20% - Accent6 4 5 2 2" xfId="6028" xr:uid="{00000000-0005-0000-0000-0000611B0000}"/>
    <cellStyle name="20% - Accent6 4 5 2 2 2" xfId="6029" xr:uid="{00000000-0005-0000-0000-0000621B0000}"/>
    <cellStyle name="20% - Accent6 4 5 2 2 3" xfId="23292" xr:uid="{00000000-0005-0000-0000-0000631B0000}"/>
    <cellStyle name="20% - Accent6 4 5 2 3" xfId="6030" xr:uid="{00000000-0005-0000-0000-0000641B0000}"/>
    <cellStyle name="20% - Accent6 4 5 2 4" xfId="20709" xr:uid="{00000000-0005-0000-0000-0000651B0000}"/>
    <cellStyle name="20% - Accent6 4 5 3" xfId="6031" xr:uid="{00000000-0005-0000-0000-0000661B0000}"/>
    <cellStyle name="20% - Accent6 4 5 3 2" xfId="6032" xr:uid="{00000000-0005-0000-0000-0000671B0000}"/>
    <cellStyle name="20% - Accent6 4 5 3 3" xfId="22002" xr:uid="{00000000-0005-0000-0000-0000681B0000}"/>
    <cellStyle name="20% - Accent6 4 5 4" xfId="6033" xr:uid="{00000000-0005-0000-0000-0000691B0000}"/>
    <cellStyle name="20% - Accent6 4 5 5" xfId="19416" xr:uid="{00000000-0005-0000-0000-00006A1B0000}"/>
    <cellStyle name="20% - Accent6 4 6" xfId="6034" xr:uid="{00000000-0005-0000-0000-00006B1B0000}"/>
    <cellStyle name="20% - Accent6 4 6 2" xfId="6035" xr:uid="{00000000-0005-0000-0000-00006C1B0000}"/>
    <cellStyle name="20% - Accent6 4 6 2 2" xfId="6036" xr:uid="{00000000-0005-0000-0000-00006D1B0000}"/>
    <cellStyle name="20% - Accent6 4 6 2 3" xfId="22647" xr:uid="{00000000-0005-0000-0000-00006E1B0000}"/>
    <cellStyle name="20% - Accent6 4 6 3" xfId="6037" xr:uid="{00000000-0005-0000-0000-00006F1B0000}"/>
    <cellStyle name="20% - Accent6 4 6 4" xfId="20064" xr:uid="{00000000-0005-0000-0000-0000701B0000}"/>
    <cellStyle name="20% - Accent6 4 7" xfId="6038" xr:uid="{00000000-0005-0000-0000-0000711B0000}"/>
    <cellStyle name="20% - Accent6 4 7 2" xfId="6039" xr:uid="{00000000-0005-0000-0000-0000721B0000}"/>
    <cellStyle name="20% - Accent6 4 7 3" xfId="21357" xr:uid="{00000000-0005-0000-0000-0000731B0000}"/>
    <cellStyle name="20% - Accent6 4 8" xfId="6040" xr:uid="{00000000-0005-0000-0000-0000741B0000}"/>
    <cellStyle name="20% - Accent6 4 9" xfId="18739" xr:uid="{00000000-0005-0000-0000-0000751B0000}"/>
    <cellStyle name="20% - Accent6 5" xfId="6041" xr:uid="{00000000-0005-0000-0000-0000761B0000}"/>
    <cellStyle name="20% - Accent6 5 2" xfId="6042" xr:uid="{00000000-0005-0000-0000-0000771B0000}"/>
    <cellStyle name="20% - Accent6 5 2 2" xfId="6043" xr:uid="{00000000-0005-0000-0000-0000781B0000}"/>
    <cellStyle name="20% - Accent6 5 2 2 2" xfId="6044" xr:uid="{00000000-0005-0000-0000-0000791B0000}"/>
    <cellStyle name="20% - Accent6 5 2 2 2 2" xfId="6045" xr:uid="{00000000-0005-0000-0000-00007A1B0000}"/>
    <cellStyle name="20% - Accent6 5 2 2 2 2 2" xfId="6046" xr:uid="{00000000-0005-0000-0000-00007B1B0000}"/>
    <cellStyle name="20% - Accent6 5 2 2 2 2 2 2" xfId="6047" xr:uid="{00000000-0005-0000-0000-00007C1B0000}"/>
    <cellStyle name="20% - Accent6 5 2 2 2 2 2 3" xfId="23816" xr:uid="{00000000-0005-0000-0000-00007D1B0000}"/>
    <cellStyle name="20% - Accent6 5 2 2 2 2 3" xfId="6048" xr:uid="{00000000-0005-0000-0000-00007E1B0000}"/>
    <cellStyle name="20% - Accent6 5 2 2 2 2 4" xfId="21233" xr:uid="{00000000-0005-0000-0000-00007F1B0000}"/>
    <cellStyle name="20% - Accent6 5 2 2 2 3" xfId="6049" xr:uid="{00000000-0005-0000-0000-0000801B0000}"/>
    <cellStyle name="20% - Accent6 5 2 2 2 3 2" xfId="6050" xr:uid="{00000000-0005-0000-0000-0000811B0000}"/>
    <cellStyle name="20% - Accent6 5 2 2 2 3 3" xfId="22526" xr:uid="{00000000-0005-0000-0000-0000821B0000}"/>
    <cellStyle name="20% - Accent6 5 2 2 2 4" xfId="6051" xr:uid="{00000000-0005-0000-0000-0000831B0000}"/>
    <cellStyle name="20% - Accent6 5 2 2 2 5" xfId="19939" xr:uid="{00000000-0005-0000-0000-0000841B0000}"/>
    <cellStyle name="20% - Accent6 5 2 2 3" xfId="6052" xr:uid="{00000000-0005-0000-0000-0000851B0000}"/>
    <cellStyle name="20% - Accent6 5 2 2 3 2" xfId="6053" xr:uid="{00000000-0005-0000-0000-0000861B0000}"/>
    <cellStyle name="20% - Accent6 5 2 2 3 2 2" xfId="6054" xr:uid="{00000000-0005-0000-0000-0000871B0000}"/>
    <cellStyle name="20% - Accent6 5 2 2 3 2 3" xfId="23171" xr:uid="{00000000-0005-0000-0000-0000881B0000}"/>
    <cellStyle name="20% - Accent6 5 2 2 3 3" xfId="6055" xr:uid="{00000000-0005-0000-0000-0000891B0000}"/>
    <cellStyle name="20% - Accent6 5 2 2 3 4" xfId="20588" xr:uid="{00000000-0005-0000-0000-00008A1B0000}"/>
    <cellStyle name="20% - Accent6 5 2 2 4" xfId="6056" xr:uid="{00000000-0005-0000-0000-00008B1B0000}"/>
    <cellStyle name="20% - Accent6 5 2 2 4 2" xfId="6057" xr:uid="{00000000-0005-0000-0000-00008C1B0000}"/>
    <cellStyle name="20% - Accent6 5 2 2 4 3" xfId="21881" xr:uid="{00000000-0005-0000-0000-00008D1B0000}"/>
    <cellStyle name="20% - Accent6 5 2 2 5" xfId="6058" xr:uid="{00000000-0005-0000-0000-00008E1B0000}"/>
    <cellStyle name="20% - Accent6 5 2 2 6" xfId="19291" xr:uid="{00000000-0005-0000-0000-00008F1B0000}"/>
    <cellStyle name="20% - Accent6 5 2 3" xfId="6059" xr:uid="{00000000-0005-0000-0000-0000901B0000}"/>
    <cellStyle name="20% - Accent6 5 2 3 2" xfId="6060" xr:uid="{00000000-0005-0000-0000-0000911B0000}"/>
    <cellStyle name="20% - Accent6 5 2 3 2 2" xfId="6061" xr:uid="{00000000-0005-0000-0000-0000921B0000}"/>
    <cellStyle name="20% - Accent6 5 2 3 2 2 2" xfId="6062" xr:uid="{00000000-0005-0000-0000-0000931B0000}"/>
    <cellStyle name="20% - Accent6 5 2 3 2 2 3" xfId="23494" xr:uid="{00000000-0005-0000-0000-0000941B0000}"/>
    <cellStyle name="20% - Accent6 5 2 3 2 3" xfId="6063" xr:uid="{00000000-0005-0000-0000-0000951B0000}"/>
    <cellStyle name="20% - Accent6 5 2 3 2 4" xfId="20911" xr:uid="{00000000-0005-0000-0000-0000961B0000}"/>
    <cellStyle name="20% - Accent6 5 2 3 3" xfId="6064" xr:uid="{00000000-0005-0000-0000-0000971B0000}"/>
    <cellStyle name="20% - Accent6 5 2 3 3 2" xfId="6065" xr:uid="{00000000-0005-0000-0000-0000981B0000}"/>
    <cellStyle name="20% - Accent6 5 2 3 3 3" xfId="22204" xr:uid="{00000000-0005-0000-0000-0000991B0000}"/>
    <cellStyle name="20% - Accent6 5 2 3 4" xfId="6066" xr:uid="{00000000-0005-0000-0000-00009A1B0000}"/>
    <cellStyle name="20% - Accent6 5 2 3 5" xfId="19617" xr:uid="{00000000-0005-0000-0000-00009B1B0000}"/>
    <cellStyle name="20% - Accent6 5 2 4" xfId="6067" xr:uid="{00000000-0005-0000-0000-00009C1B0000}"/>
    <cellStyle name="20% - Accent6 5 2 4 2" xfId="6068" xr:uid="{00000000-0005-0000-0000-00009D1B0000}"/>
    <cellStyle name="20% - Accent6 5 2 4 2 2" xfId="6069" xr:uid="{00000000-0005-0000-0000-00009E1B0000}"/>
    <cellStyle name="20% - Accent6 5 2 4 2 3" xfId="22849" xr:uid="{00000000-0005-0000-0000-00009F1B0000}"/>
    <cellStyle name="20% - Accent6 5 2 4 3" xfId="6070" xr:uid="{00000000-0005-0000-0000-0000A01B0000}"/>
    <cellStyle name="20% - Accent6 5 2 4 4" xfId="20266" xr:uid="{00000000-0005-0000-0000-0000A11B0000}"/>
    <cellStyle name="20% - Accent6 5 2 5" xfId="6071" xr:uid="{00000000-0005-0000-0000-0000A21B0000}"/>
    <cellStyle name="20% - Accent6 5 2 5 2" xfId="6072" xr:uid="{00000000-0005-0000-0000-0000A31B0000}"/>
    <cellStyle name="20% - Accent6 5 2 5 3" xfId="21559" xr:uid="{00000000-0005-0000-0000-0000A41B0000}"/>
    <cellStyle name="20% - Accent6 5 2 6" xfId="6073" xr:uid="{00000000-0005-0000-0000-0000A51B0000}"/>
    <cellStyle name="20% - Accent6 5 2 7" xfId="18965" xr:uid="{00000000-0005-0000-0000-0000A61B0000}"/>
    <cellStyle name="20% - Accent6 5 3" xfId="6074" xr:uid="{00000000-0005-0000-0000-0000A71B0000}"/>
    <cellStyle name="20% - Accent6 5 3 2" xfId="6075" xr:uid="{00000000-0005-0000-0000-0000A81B0000}"/>
    <cellStyle name="20% - Accent6 5 3 2 2" xfId="6076" xr:uid="{00000000-0005-0000-0000-0000A91B0000}"/>
    <cellStyle name="20% - Accent6 5 3 2 2 2" xfId="6077" xr:uid="{00000000-0005-0000-0000-0000AA1B0000}"/>
    <cellStyle name="20% - Accent6 5 3 2 2 2 2" xfId="6078" xr:uid="{00000000-0005-0000-0000-0000AB1B0000}"/>
    <cellStyle name="20% - Accent6 5 3 2 2 2 3" xfId="23655" xr:uid="{00000000-0005-0000-0000-0000AC1B0000}"/>
    <cellStyle name="20% - Accent6 5 3 2 2 3" xfId="6079" xr:uid="{00000000-0005-0000-0000-0000AD1B0000}"/>
    <cellStyle name="20% - Accent6 5 3 2 2 4" xfId="21072" xr:uid="{00000000-0005-0000-0000-0000AE1B0000}"/>
    <cellStyle name="20% - Accent6 5 3 2 3" xfId="6080" xr:uid="{00000000-0005-0000-0000-0000AF1B0000}"/>
    <cellStyle name="20% - Accent6 5 3 2 3 2" xfId="6081" xr:uid="{00000000-0005-0000-0000-0000B01B0000}"/>
    <cellStyle name="20% - Accent6 5 3 2 3 3" xfId="22365" xr:uid="{00000000-0005-0000-0000-0000B11B0000}"/>
    <cellStyle name="20% - Accent6 5 3 2 4" xfId="6082" xr:uid="{00000000-0005-0000-0000-0000B21B0000}"/>
    <cellStyle name="20% - Accent6 5 3 2 5" xfId="19778" xr:uid="{00000000-0005-0000-0000-0000B31B0000}"/>
    <cellStyle name="20% - Accent6 5 3 3" xfId="6083" xr:uid="{00000000-0005-0000-0000-0000B41B0000}"/>
    <cellStyle name="20% - Accent6 5 3 3 2" xfId="6084" xr:uid="{00000000-0005-0000-0000-0000B51B0000}"/>
    <cellStyle name="20% - Accent6 5 3 3 2 2" xfId="6085" xr:uid="{00000000-0005-0000-0000-0000B61B0000}"/>
    <cellStyle name="20% - Accent6 5 3 3 2 3" xfId="23010" xr:uid="{00000000-0005-0000-0000-0000B71B0000}"/>
    <cellStyle name="20% - Accent6 5 3 3 3" xfId="6086" xr:uid="{00000000-0005-0000-0000-0000B81B0000}"/>
    <cellStyle name="20% - Accent6 5 3 3 4" xfId="20427" xr:uid="{00000000-0005-0000-0000-0000B91B0000}"/>
    <cellStyle name="20% - Accent6 5 3 4" xfId="6087" xr:uid="{00000000-0005-0000-0000-0000BA1B0000}"/>
    <cellStyle name="20% - Accent6 5 3 4 2" xfId="6088" xr:uid="{00000000-0005-0000-0000-0000BB1B0000}"/>
    <cellStyle name="20% - Accent6 5 3 4 3" xfId="21720" xr:uid="{00000000-0005-0000-0000-0000BC1B0000}"/>
    <cellStyle name="20% - Accent6 5 3 5" xfId="6089" xr:uid="{00000000-0005-0000-0000-0000BD1B0000}"/>
    <cellStyle name="20% - Accent6 5 3 6" xfId="19130" xr:uid="{00000000-0005-0000-0000-0000BE1B0000}"/>
    <cellStyle name="20% - Accent6 5 4" xfId="6090" xr:uid="{00000000-0005-0000-0000-0000BF1B0000}"/>
    <cellStyle name="20% - Accent6 5 4 2" xfId="6091" xr:uid="{00000000-0005-0000-0000-0000C01B0000}"/>
    <cellStyle name="20% - Accent6 5 4 2 2" xfId="6092" xr:uid="{00000000-0005-0000-0000-0000C11B0000}"/>
    <cellStyle name="20% - Accent6 5 4 2 2 2" xfId="6093" xr:uid="{00000000-0005-0000-0000-0000C21B0000}"/>
    <cellStyle name="20% - Accent6 5 4 2 2 3" xfId="23333" xr:uid="{00000000-0005-0000-0000-0000C31B0000}"/>
    <cellStyle name="20% - Accent6 5 4 2 3" xfId="6094" xr:uid="{00000000-0005-0000-0000-0000C41B0000}"/>
    <cellStyle name="20% - Accent6 5 4 2 4" xfId="20750" xr:uid="{00000000-0005-0000-0000-0000C51B0000}"/>
    <cellStyle name="20% - Accent6 5 4 3" xfId="6095" xr:uid="{00000000-0005-0000-0000-0000C61B0000}"/>
    <cellStyle name="20% - Accent6 5 4 3 2" xfId="6096" xr:uid="{00000000-0005-0000-0000-0000C71B0000}"/>
    <cellStyle name="20% - Accent6 5 4 3 3" xfId="22043" xr:uid="{00000000-0005-0000-0000-0000C81B0000}"/>
    <cellStyle name="20% - Accent6 5 4 4" xfId="6097" xr:uid="{00000000-0005-0000-0000-0000C91B0000}"/>
    <cellStyle name="20% - Accent6 5 4 5" xfId="19456" xr:uid="{00000000-0005-0000-0000-0000CA1B0000}"/>
    <cellStyle name="20% - Accent6 5 5" xfId="6098" xr:uid="{00000000-0005-0000-0000-0000CB1B0000}"/>
    <cellStyle name="20% - Accent6 5 5 2" xfId="6099" xr:uid="{00000000-0005-0000-0000-0000CC1B0000}"/>
    <cellStyle name="20% - Accent6 5 5 2 2" xfId="6100" xr:uid="{00000000-0005-0000-0000-0000CD1B0000}"/>
    <cellStyle name="20% - Accent6 5 5 2 3" xfId="22688" xr:uid="{00000000-0005-0000-0000-0000CE1B0000}"/>
    <cellStyle name="20% - Accent6 5 5 3" xfId="6101" xr:uid="{00000000-0005-0000-0000-0000CF1B0000}"/>
    <cellStyle name="20% - Accent6 5 5 4" xfId="20105" xr:uid="{00000000-0005-0000-0000-0000D01B0000}"/>
    <cellStyle name="20% - Accent6 5 6" xfId="6102" xr:uid="{00000000-0005-0000-0000-0000D11B0000}"/>
    <cellStyle name="20% - Accent6 5 6 2" xfId="6103" xr:uid="{00000000-0005-0000-0000-0000D21B0000}"/>
    <cellStyle name="20% - Accent6 5 6 3" xfId="21398" xr:uid="{00000000-0005-0000-0000-0000D31B0000}"/>
    <cellStyle name="20% - Accent6 5 7" xfId="6104" xr:uid="{00000000-0005-0000-0000-0000D41B0000}"/>
    <cellStyle name="20% - Accent6 5 8" xfId="18792" xr:uid="{00000000-0005-0000-0000-0000D51B0000}"/>
    <cellStyle name="20% - Accent6 6" xfId="6105" xr:uid="{00000000-0005-0000-0000-0000D61B0000}"/>
    <cellStyle name="20% - Accent6 6 2" xfId="6106" xr:uid="{00000000-0005-0000-0000-0000D71B0000}"/>
    <cellStyle name="20% - Accent6 6 2 2" xfId="6107" xr:uid="{00000000-0005-0000-0000-0000D81B0000}"/>
    <cellStyle name="20% - Accent6 6 2 2 2" xfId="6108" xr:uid="{00000000-0005-0000-0000-0000D91B0000}"/>
    <cellStyle name="20% - Accent6 6 2 2 2 2" xfId="6109" xr:uid="{00000000-0005-0000-0000-0000DA1B0000}"/>
    <cellStyle name="20% - Accent6 6 2 2 2 2 2" xfId="6110" xr:uid="{00000000-0005-0000-0000-0000DB1B0000}"/>
    <cellStyle name="20% - Accent6 6 2 2 2 2 3" xfId="23736" xr:uid="{00000000-0005-0000-0000-0000DC1B0000}"/>
    <cellStyle name="20% - Accent6 6 2 2 2 3" xfId="6111" xr:uid="{00000000-0005-0000-0000-0000DD1B0000}"/>
    <cellStyle name="20% - Accent6 6 2 2 2 4" xfId="21153" xr:uid="{00000000-0005-0000-0000-0000DE1B0000}"/>
    <cellStyle name="20% - Accent6 6 2 2 3" xfId="6112" xr:uid="{00000000-0005-0000-0000-0000DF1B0000}"/>
    <cellStyle name="20% - Accent6 6 2 2 3 2" xfId="6113" xr:uid="{00000000-0005-0000-0000-0000E01B0000}"/>
    <cellStyle name="20% - Accent6 6 2 2 3 3" xfId="22446" xr:uid="{00000000-0005-0000-0000-0000E11B0000}"/>
    <cellStyle name="20% - Accent6 6 2 2 4" xfId="6114" xr:uid="{00000000-0005-0000-0000-0000E21B0000}"/>
    <cellStyle name="20% - Accent6 6 2 2 5" xfId="19859" xr:uid="{00000000-0005-0000-0000-0000E31B0000}"/>
    <cellStyle name="20% - Accent6 6 2 3" xfId="6115" xr:uid="{00000000-0005-0000-0000-0000E41B0000}"/>
    <cellStyle name="20% - Accent6 6 2 3 2" xfId="6116" xr:uid="{00000000-0005-0000-0000-0000E51B0000}"/>
    <cellStyle name="20% - Accent6 6 2 3 2 2" xfId="6117" xr:uid="{00000000-0005-0000-0000-0000E61B0000}"/>
    <cellStyle name="20% - Accent6 6 2 3 2 3" xfId="23091" xr:uid="{00000000-0005-0000-0000-0000E71B0000}"/>
    <cellStyle name="20% - Accent6 6 2 3 3" xfId="6118" xr:uid="{00000000-0005-0000-0000-0000E81B0000}"/>
    <cellStyle name="20% - Accent6 6 2 3 4" xfId="20508" xr:uid="{00000000-0005-0000-0000-0000E91B0000}"/>
    <cellStyle name="20% - Accent6 6 2 4" xfId="6119" xr:uid="{00000000-0005-0000-0000-0000EA1B0000}"/>
    <cellStyle name="20% - Accent6 6 2 4 2" xfId="6120" xr:uid="{00000000-0005-0000-0000-0000EB1B0000}"/>
    <cellStyle name="20% - Accent6 6 2 4 3" xfId="21801" xr:uid="{00000000-0005-0000-0000-0000EC1B0000}"/>
    <cellStyle name="20% - Accent6 6 2 5" xfId="6121" xr:uid="{00000000-0005-0000-0000-0000ED1B0000}"/>
    <cellStyle name="20% - Accent6 6 2 6" xfId="19211" xr:uid="{00000000-0005-0000-0000-0000EE1B0000}"/>
    <cellStyle name="20% - Accent6 6 3" xfId="6122" xr:uid="{00000000-0005-0000-0000-0000EF1B0000}"/>
    <cellStyle name="20% - Accent6 6 3 2" xfId="6123" xr:uid="{00000000-0005-0000-0000-0000F01B0000}"/>
    <cellStyle name="20% - Accent6 6 3 2 2" xfId="6124" xr:uid="{00000000-0005-0000-0000-0000F11B0000}"/>
    <cellStyle name="20% - Accent6 6 3 2 2 2" xfId="6125" xr:uid="{00000000-0005-0000-0000-0000F21B0000}"/>
    <cellStyle name="20% - Accent6 6 3 2 2 3" xfId="23414" xr:uid="{00000000-0005-0000-0000-0000F31B0000}"/>
    <cellStyle name="20% - Accent6 6 3 2 3" xfId="6126" xr:uid="{00000000-0005-0000-0000-0000F41B0000}"/>
    <cellStyle name="20% - Accent6 6 3 2 4" xfId="20831" xr:uid="{00000000-0005-0000-0000-0000F51B0000}"/>
    <cellStyle name="20% - Accent6 6 3 3" xfId="6127" xr:uid="{00000000-0005-0000-0000-0000F61B0000}"/>
    <cellStyle name="20% - Accent6 6 3 3 2" xfId="6128" xr:uid="{00000000-0005-0000-0000-0000F71B0000}"/>
    <cellStyle name="20% - Accent6 6 3 3 3" xfId="22124" xr:uid="{00000000-0005-0000-0000-0000F81B0000}"/>
    <cellStyle name="20% - Accent6 6 3 4" xfId="6129" xr:uid="{00000000-0005-0000-0000-0000F91B0000}"/>
    <cellStyle name="20% - Accent6 6 3 5" xfId="19537" xr:uid="{00000000-0005-0000-0000-0000FA1B0000}"/>
    <cellStyle name="20% - Accent6 6 4" xfId="6130" xr:uid="{00000000-0005-0000-0000-0000FB1B0000}"/>
    <cellStyle name="20% - Accent6 6 4 2" xfId="6131" xr:uid="{00000000-0005-0000-0000-0000FC1B0000}"/>
    <cellStyle name="20% - Accent6 6 4 2 2" xfId="6132" xr:uid="{00000000-0005-0000-0000-0000FD1B0000}"/>
    <cellStyle name="20% - Accent6 6 4 2 3" xfId="22769" xr:uid="{00000000-0005-0000-0000-0000FE1B0000}"/>
    <cellStyle name="20% - Accent6 6 4 3" xfId="6133" xr:uid="{00000000-0005-0000-0000-0000FF1B0000}"/>
    <cellStyle name="20% - Accent6 6 4 4" xfId="20186" xr:uid="{00000000-0005-0000-0000-0000001C0000}"/>
    <cellStyle name="20% - Accent6 6 5" xfId="6134" xr:uid="{00000000-0005-0000-0000-0000011C0000}"/>
    <cellStyle name="20% - Accent6 6 5 2" xfId="6135" xr:uid="{00000000-0005-0000-0000-0000021C0000}"/>
    <cellStyle name="20% - Accent6 6 5 3" xfId="21479" xr:uid="{00000000-0005-0000-0000-0000031C0000}"/>
    <cellStyle name="20% - Accent6 6 6" xfId="6136" xr:uid="{00000000-0005-0000-0000-0000041C0000}"/>
    <cellStyle name="20% - Accent6 6 7" xfId="18881" xr:uid="{00000000-0005-0000-0000-0000051C0000}"/>
    <cellStyle name="20% - Accent6 7" xfId="6137" xr:uid="{00000000-0005-0000-0000-0000061C0000}"/>
    <cellStyle name="20% - Accent6 7 2" xfId="6138" xr:uid="{00000000-0005-0000-0000-0000071C0000}"/>
    <cellStyle name="20% - Accent6 7 2 2" xfId="6139" xr:uid="{00000000-0005-0000-0000-0000081C0000}"/>
    <cellStyle name="20% - Accent6 7 2 2 2" xfId="6140" xr:uid="{00000000-0005-0000-0000-0000091C0000}"/>
    <cellStyle name="20% - Accent6 7 2 2 2 2" xfId="6141" xr:uid="{00000000-0005-0000-0000-00000A1C0000}"/>
    <cellStyle name="20% - Accent6 7 2 2 2 3" xfId="23575" xr:uid="{00000000-0005-0000-0000-00000B1C0000}"/>
    <cellStyle name="20% - Accent6 7 2 2 3" xfId="6142" xr:uid="{00000000-0005-0000-0000-00000C1C0000}"/>
    <cellStyle name="20% - Accent6 7 2 2 4" xfId="20992" xr:uid="{00000000-0005-0000-0000-00000D1C0000}"/>
    <cellStyle name="20% - Accent6 7 2 3" xfId="6143" xr:uid="{00000000-0005-0000-0000-00000E1C0000}"/>
    <cellStyle name="20% - Accent6 7 2 3 2" xfId="6144" xr:uid="{00000000-0005-0000-0000-00000F1C0000}"/>
    <cellStyle name="20% - Accent6 7 2 3 3" xfId="22285" xr:uid="{00000000-0005-0000-0000-0000101C0000}"/>
    <cellStyle name="20% - Accent6 7 2 4" xfId="6145" xr:uid="{00000000-0005-0000-0000-0000111C0000}"/>
    <cellStyle name="20% - Accent6 7 2 5" xfId="19698" xr:uid="{00000000-0005-0000-0000-0000121C0000}"/>
    <cellStyle name="20% - Accent6 7 3" xfId="6146" xr:uid="{00000000-0005-0000-0000-0000131C0000}"/>
    <cellStyle name="20% - Accent6 7 3 2" xfId="6147" xr:uid="{00000000-0005-0000-0000-0000141C0000}"/>
    <cellStyle name="20% - Accent6 7 3 2 2" xfId="6148" xr:uid="{00000000-0005-0000-0000-0000151C0000}"/>
    <cellStyle name="20% - Accent6 7 3 2 3" xfId="22930" xr:uid="{00000000-0005-0000-0000-0000161C0000}"/>
    <cellStyle name="20% - Accent6 7 3 3" xfId="6149" xr:uid="{00000000-0005-0000-0000-0000171C0000}"/>
    <cellStyle name="20% - Accent6 7 3 4" xfId="20347" xr:uid="{00000000-0005-0000-0000-0000181C0000}"/>
    <cellStyle name="20% - Accent6 7 4" xfId="6150" xr:uid="{00000000-0005-0000-0000-0000191C0000}"/>
    <cellStyle name="20% - Accent6 7 4 2" xfId="6151" xr:uid="{00000000-0005-0000-0000-00001A1C0000}"/>
    <cellStyle name="20% - Accent6 7 4 3" xfId="21640" xr:uid="{00000000-0005-0000-0000-00001B1C0000}"/>
    <cellStyle name="20% - Accent6 7 5" xfId="6152" xr:uid="{00000000-0005-0000-0000-00001C1C0000}"/>
    <cellStyle name="20% - Accent6 7 6" xfId="19046" xr:uid="{00000000-0005-0000-0000-00001D1C0000}"/>
    <cellStyle name="20% - Accent6 8" xfId="6153" xr:uid="{00000000-0005-0000-0000-00001E1C0000}"/>
    <cellStyle name="20% - Accent6 8 2" xfId="6154" xr:uid="{00000000-0005-0000-0000-00001F1C0000}"/>
    <cellStyle name="20% - Accent6 8 2 2" xfId="6155" xr:uid="{00000000-0005-0000-0000-0000201C0000}"/>
    <cellStyle name="20% - Accent6 8 2 2 2" xfId="6156" xr:uid="{00000000-0005-0000-0000-0000211C0000}"/>
    <cellStyle name="20% - Accent6 8 2 2 3" xfId="23252" xr:uid="{00000000-0005-0000-0000-0000221C0000}"/>
    <cellStyle name="20% - Accent6 8 2 3" xfId="6157" xr:uid="{00000000-0005-0000-0000-0000231C0000}"/>
    <cellStyle name="20% - Accent6 8 2 4" xfId="20669" xr:uid="{00000000-0005-0000-0000-0000241C0000}"/>
    <cellStyle name="20% - Accent6 8 3" xfId="6158" xr:uid="{00000000-0005-0000-0000-0000251C0000}"/>
    <cellStyle name="20% - Accent6 8 3 2" xfId="6159" xr:uid="{00000000-0005-0000-0000-0000261C0000}"/>
    <cellStyle name="20% - Accent6 8 3 3" xfId="21962" xr:uid="{00000000-0005-0000-0000-0000271C0000}"/>
    <cellStyle name="20% - Accent6 8 4" xfId="6160" xr:uid="{00000000-0005-0000-0000-0000281C0000}"/>
    <cellStyle name="20% - Accent6 8 5" xfId="19372" xr:uid="{00000000-0005-0000-0000-0000291C0000}"/>
    <cellStyle name="20% - Accent6 9" xfId="6161" xr:uid="{00000000-0005-0000-0000-00002A1C0000}"/>
    <cellStyle name="20% - Accent6 9 2" xfId="6162" xr:uid="{00000000-0005-0000-0000-00002B1C0000}"/>
    <cellStyle name="20% - Accent6 9 2 2" xfId="6163" xr:uid="{00000000-0005-0000-0000-00002C1C0000}"/>
    <cellStyle name="20% - Accent6 9 2 3" xfId="22607" xr:uid="{00000000-0005-0000-0000-00002D1C0000}"/>
    <cellStyle name="20% - Accent6 9 3" xfId="6164" xr:uid="{00000000-0005-0000-0000-00002E1C0000}"/>
    <cellStyle name="20% - Accent6 9 4" xfId="20020" xr:uid="{00000000-0005-0000-0000-00002F1C0000}"/>
    <cellStyle name="40% - Accent1 10" xfId="6165" xr:uid="{00000000-0005-0000-0000-0000301C0000}"/>
    <cellStyle name="40% - Accent1 10 2" xfId="6166" xr:uid="{00000000-0005-0000-0000-0000311C0000}"/>
    <cellStyle name="40% - Accent1 10 3" xfId="21307" xr:uid="{00000000-0005-0000-0000-0000321C0000}"/>
    <cellStyle name="40% - Accent1 11" xfId="6167" xr:uid="{00000000-0005-0000-0000-0000331C0000}"/>
    <cellStyle name="40% - Accent1 12" xfId="6168" xr:uid="{00000000-0005-0000-0000-0000341C0000}"/>
    <cellStyle name="40% - Accent1 13" xfId="6169" xr:uid="{00000000-0005-0000-0000-0000351C0000}"/>
    <cellStyle name="40% - Accent1 14" xfId="6170" xr:uid="{00000000-0005-0000-0000-0000361C0000}"/>
    <cellStyle name="40% - Accent1 15" xfId="18612" xr:uid="{00000000-0005-0000-0000-0000371C0000}"/>
    <cellStyle name="40% - Accent1 2" xfId="6171" xr:uid="{00000000-0005-0000-0000-0000381C0000}"/>
    <cellStyle name="40% - Accent1 2 10" xfId="6172" xr:uid="{00000000-0005-0000-0000-0000391C0000}"/>
    <cellStyle name="40% - Accent1 2 11" xfId="18636" xr:uid="{00000000-0005-0000-0000-00003A1C0000}"/>
    <cellStyle name="40% - Accent1 2 2" xfId="6173" xr:uid="{00000000-0005-0000-0000-00003B1C0000}"/>
    <cellStyle name="40% - Accent1 2 2 10" xfId="18723" xr:uid="{00000000-0005-0000-0000-00003C1C0000}"/>
    <cellStyle name="40% - Accent1 2 2 2" xfId="6174" xr:uid="{00000000-0005-0000-0000-00003D1C0000}"/>
    <cellStyle name="40% - Accent1 2 2 2 2" xfId="6175" xr:uid="{00000000-0005-0000-0000-00003E1C0000}"/>
    <cellStyle name="40% - Accent1 2 2 2 2 2" xfId="6176" xr:uid="{00000000-0005-0000-0000-00003F1C0000}"/>
    <cellStyle name="40% - Accent1 2 2 2 2 2 2" xfId="6177" xr:uid="{00000000-0005-0000-0000-0000401C0000}"/>
    <cellStyle name="40% - Accent1 2 2 2 2 2 2 2" xfId="6178" xr:uid="{00000000-0005-0000-0000-0000411C0000}"/>
    <cellStyle name="40% - Accent1 2 2 2 2 2 2 2 2" xfId="6179" xr:uid="{00000000-0005-0000-0000-0000421C0000}"/>
    <cellStyle name="40% - Accent1 2 2 2 2 2 2 2 2 2" xfId="6180" xr:uid="{00000000-0005-0000-0000-0000431C0000}"/>
    <cellStyle name="40% - Accent1 2 2 2 2 2 2 2 2 2 2" xfId="6181" xr:uid="{00000000-0005-0000-0000-0000441C0000}"/>
    <cellStyle name="40% - Accent1 2 2 2 2 2 2 2 2 2 3" xfId="23880" xr:uid="{00000000-0005-0000-0000-0000451C0000}"/>
    <cellStyle name="40% - Accent1 2 2 2 2 2 2 2 2 3" xfId="6182" xr:uid="{00000000-0005-0000-0000-0000461C0000}"/>
    <cellStyle name="40% - Accent1 2 2 2 2 2 2 2 2 4" xfId="21297" xr:uid="{00000000-0005-0000-0000-0000471C0000}"/>
    <cellStyle name="40% - Accent1 2 2 2 2 2 2 2 3" xfId="6183" xr:uid="{00000000-0005-0000-0000-0000481C0000}"/>
    <cellStyle name="40% - Accent1 2 2 2 2 2 2 2 3 2" xfId="6184" xr:uid="{00000000-0005-0000-0000-0000491C0000}"/>
    <cellStyle name="40% - Accent1 2 2 2 2 2 2 2 3 3" xfId="22590" xr:uid="{00000000-0005-0000-0000-00004A1C0000}"/>
    <cellStyle name="40% - Accent1 2 2 2 2 2 2 2 4" xfId="6185" xr:uid="{00000000-0005-0000-0000-00004B1C0000}"/>
    <cellStyle name="40% - Accent1 2 2 2 2 2 2 2 5" xfId="20003" xr:uid="{00000000-0005-0000-0000-00004C1C0000}"/>
    <cellStyle name="40% - Accent1 2 2 2 2 2 2 3" xfId="6186" xr:uid="{00000000-0005-0000-0000-00004D1C0000}"/>
    <cellStyle name="40% - Accent1 2 2 2 2 2 2 3 2" xfId="6187" xr:uid="{00000000-0005-0000-0000-00004E1C0000}"/>
    <cellStyle name="40% - Accent1 2 2 2 2 2 2 3 2 2" xfId="6188" xr:uid="{00000000-0005-0000-0000-00004F1C0000}"/>
    <cellStyle name="40% - Accent1 2 2 2 2 2 2 3 2 3" xfId="23235" xr:uid="{00000000-0005-0000-0000-0000501C0000}"/>
    <cellStyle name="40% - Accent1 2 2 2 2 2 2 3 3" xfId="6189" xr:uid="{00000000-0005-0000-0000-0000511C0000}"/>
    <cellStyle name="40% - Accent1 2 2 2 2 2 2 3 4" xfId="20652" xr:uid="{00000000-0005-0000-0000-0000521C0000}"/>
    <cellStyle name="40% - Accent1 2 2 2 2 2 2 4" xfId="6190" xr:uid="{00000000-0005-0000-0000-0000531C0000}"/>
    <cellStyle name="40% - Accent1 2 2 2 2 2 2 4 2" xfId="6191" xr:uid="{00000000-0005-0000-0000-0000541C0000}"/>
    <cellStyle name="40% - Accent1 2 2 2 2 2 2 4 3" xfId="21945" xr:uid="{00000000-0005-0000-0000-0000551C0000}"/>
    <cellStyle name="40% - Accent1 2 2 2 2 2 2 5" xfId="6192" xr:uid="{00000000-0005-0000-0000-0000561C0000}"/>
    <cellStyle name="40% - Accent1 2 2 2 2 2 2 6" xfId="19355" xr:uid="{00000000-0005-0000-0000-0000571C0000}"/>
    <cellStyle name="40% - Accent1 2 2 2 2 2 3" xfId="6193" xr:uid="{00000000-0005-0000-0000-0000581C0000}"/>
    <cellStyle name="40% - Accent1 2 2 2 2 2 3 2" xfId="6194" xr:uid="{00000000-0005-0000-0000-0000591C0000}"/>
    <cellStyle name="40% - Accent1 2 2 2 2 2 3 2 2" xfId="6195" xr:uid="{00000000-0005-0000-0000-00005A1C0000}"/>
    <cellStyle name="40% - Accent1 2 2 2 2 2 3 2 2 2" xfId="6196" xr:uid="{00000000-0005-0000-0000-00005B1C0000}"/>
    <cellStyle name="40% - Accent1 2 2 2 2 2 3 2 2 3" xfId="23558" xr:uid="{00000000-0005-0000-0000-00005C1C0000}"/>
    <cellStyle name="40% - Accent1 2 2 2 2 2 3 2 3" xfId="6197" xr:uid="{00000000-0005-0000-0000-00005D1C0000}"/>
    <cellStyle name="40% - Accent1 2 2 2 2 2 3 2 4" xfId="20975" xr:uid="{00000000-0005-0000-0000-00005E1C0000}"/>
    <cellStyle name="40% - Accent1 2 2 2 2 2 3 3" xfId="6198" xr:uid="{00000000-0005-0000-0000-00005F1C0000}"/>
    <cellStyle name="40% - Accent1 2 2 2 2 2 3 3 2" xfId="6199" xr:uid="{00000000-0005-0000-0000-0000601C0000}"/>
    <cellStyle name="40% - Accent1 2 2 2 2 2 3 3 3" xfId="22268" xr:uid="{00000000-0005-0000-0000-0000611C0000}"/>
    <cellStyle name="40% - Accent1 2 2 2 2 2 3 4" xfId="6200" xr:uid="{00000000-0005-0000-0000-0000621C0000}"/>
    <cellStyle name="40% - Accent1 2 2 2 2 2 3 5" xfId="19681" xr:uid="{00000000-0005-0000-0000-0000631C0000}"/>
    <cellStyle name="40% - Accent1 2 2 2 2 2 4" xfId="6201" xr:uid="{00000000-0005-0000-0000-0000641C0000}"/>
    <cellStyle name="40% - Accent1 2 2 2 2 2 4 2" xfId="6202" xr:uid="{00000000-0005-0000-0000-0000651C0000}"/>
    <cellStyle name="40% - Accent1 2 2 2 2 2 4 2 2" xfId="6203" xr:uid="{00000000-0005-0000-0000-0000661C0000}"/>
    <cellStyle name="40% - Accent1 2 2 2 2 2 4 2 3" xfId="22913" xr:uid="{00000000-0005-0000-0000-0000671C0000}"/>
    <cellStyle name="40% - Accent1 2 2 2 2 2 4 3" xfId="6204" xr:uid="{00000000-0005-0000-0000-0000681C0000}"/>
    <cellStyle name="40% - Accent1 2 2 2 2 2 4 4" xfId="20330" xr:uid="{00000000-0005-0000-0000-0000691C0000}"/>
    <cellStyle name="40% - Accent1 2 2 2 2 2 5" xfId="6205" xr:uid="{00000000-0005-0000-0000-00006A1C0000}"/>
    <cellStyle name="40% - Accent1 2 2 2 2 2 5 2" xfId="6206" xr:uid="{00000000-0005-0000-0000-00006B1C0000}"/>
    <cellStyle name="40% - Accent1 2 2 2 2 2 5 3" xfId="21623" xr:uid="{00000000-0005-0000-0000-00006C1C0000}"/>
    <cellStyle name="40% - Accent1 2 2 2 2 2 6" xfId="6207" xr:uid="{00000000-0005-0000-0000-00006D1C0000}"/>
    <cellStyle name="40% - Accent1 2 2 2 2 2 7" xfId="19029" xr:uid="{00000000-0005-0000-0000-00006E1C0000}"/>
    <cellStyle name="40% - Accent1 2 2 2 2 3" xfId="6208" xr:uid="{00000000-0005-0000-0000-00006F1C0000}"/>
    <cellStyle name="40% - Accent1 2 2 2 2 3 2" xfId="6209" xr:uid="{00000000-0005-0000-0000-0000701C0000}"/>
    <cellStyle name="40% - Accent1 2 2 2 2 3 2 2" xfId="6210" xr:uid="{00000000-0005-0000-0000-0000711C0000}"/>
    <cellStyle name="40% - Accent1 2 2 2 2 3 2 2 2" xfId="6211" xr:uid="{00000000-0005-0000-0000-0000721C0000}"/>
    <cellStyle name="40% - Accent1 2 2 2 2 3 2 2 2 2" xfId="6212" xr:uid="{00000000-0005-0000-0000-0000731C0000}"/>
    <cellStyle name="40% - Accent1 2 2 2 2 3 2 2 2 3" xfId="23719" xr:uid="{00000000-0005-0000-0000-0000741C0000}"/>
    <cellStyle name="40% - Accent1 2 2 2 2 3 2 2 3" xfId="6213" xr:uid="{00000000-0005-0000-0000-0000751C0000}"/>
    <cellStyle name="40% - Accent1 2 2 2 2 3 2 2 4" xfId="21136" xr:uid="{00000000-0005-0000-0000-0000761C0000}"/>
    <cellStyle name="40% - Accent1 2 2 2 2 3 2 3" xfId="6214" xr:uid="{00000000-0005-0000-0000-0000771C0000}"/>
    <cellStyle name="40% - Accent1 2 2 2 2 3 2 3 2" xfId="6215" xr:uid="{00000000-0005-0000-0000-0000781C0000}"/>
    <cellStyle name="40% - Accent1 2 2 2 2 3 2 3 3" xfId="22429" xr:uid="{00000000-0005-0000-0000-0000791C0000}"/>
    <cellStyle name="40% - Accent1 2 2 2 2 3 2 4" xfId="6216" xr:uid="{00000000-0005-0000-0000-00007A1C0000}"/>
    <cellStyle name="40% - Accent1 2 2 2 2 3 2 5" xfId="19842" xr:uid="{00000000-0005-0000-0000-00007B1C0000}"/>
    <cellStyle name="40% - Accent1 2 2 2 2 3 3" xfId="6217" xr:uid="{00000000-0005-0000-0000-00007C1C0000}"/>
    <cellStyle name="40% - Accent1 2 2 2 2 3 3 2" xfId="6218" xr:uid="{00000000-0005-0000-0000-00007D1C0000}"/>
    <cellStyle name="40% - Accent1 2 2 2 2 3 3 2 2" xfId="6219" xr:uid="{00000000-0005-0000-0000-00007E1C0000}"/>
    <cellStyle name="40% - Accent1 2 2 2 2 3 3 2 3" xfId="23074" xr:uid="{00000000-0005-0000-0000-00007F1C0000}"/>
    <cellStyle name="40% - Accent1 2 2 2 2 3 3 3" xfId="6220" xr:uid="{00000000-0005-0000-0000-0000801C0000}"/>
    <cellStyle name="40% - Accent1 2 2 2 2 3 3 4" xfId="20491" xr:uid="{00000000-0005-0000-0000-0000811C0000}"/>
    <cellStyle name="40% - Accent1 2 2 2 2 3 4" xfId="6221" xr:uid="{00000000-0005-0000-0000-0000821C0000}"/>
    <cellStyle name="40% - Accent1 2 2 2 2 3 4 2" xfId="6222" xr:uid="{00000000-0005-0000-0000-0000831C0000}"/>
    <cellStyle name="40% - Accent1 2 2 2 2 3 4 3" xfId="21784" xr:uid="{00000000-0005-0000-0000-0000841C0000}"/>
    <cellStyle name="40% - Accent1 2 2 2 2 3 5" xfId="6223" xr:uid="{00000000-0005-0000-0000-0000851C0000}"/>
    <cellStyle name="40% - Accent1 2 2 2 2 3 6" xfId="19194" xr:uid="{00000000-0005-0000-0000-0000861C0000}"/>
    <cellStyle name="40% - Accent1 2 2 2 2 4" xfId="6224" xr:uid="{00000000-0005-0000-0000-0000871C0000}"/>
    <cellStyle name="40% - Accent1 2 2 2 2 4 2" xfId="6225" xr:uid="{00000000-0005-0000-0000-0000881C0000}"/>
    <cellStyle name="40% - Accent1 2 2 2 2 4 2 2" xfId="6226" xr:uid="{00000000-0005-0000-0000-0000891C0000}"/>
    <cellStyle name="40% - Accent1 2 2 2 2 4 2 2 2" xfId="6227" xr:uid="{00000000-0005-0000-0000-00008A1C0000}"/>
    <cellStyle name="40% - Accent1 2 2 2 2 4 2 2 3" xfId="23397" xr:uid="{00000000-0005-0000-0000-00008B1C0000}"/>
    <cellStyle name="40% - Accent1 2 2 2 2 4 2 3" xfId="6228" xr:uid="{00000000-0005-0000-0000-00008C1C0000}"/>
    <cellStyle name="40% - Accent1 2 2 2 2 4 2 4" xfId="20814" xr:uid="{00000000-0005-0000-0000-00008D1C0000}"/>
    <cellStyle name="40% - Accent1 2 2 2 2 4 3" xfId="6229" xr:uid="{00000000-0005-0000-0000-00008E1C0000}"/>
    <cellStyle name="40% - Accent1 2 2 2 2 4 3 2" xfId="6230" xr:uid="{00000000-0005-0000-0000-00008F1C0000}"/>
    <cellStyle name="40% - Accent1 2 2 2 2 4 3 3" xfId="22107" xr:uid="{00000000-0005-0000-0000-0000901C0000}"/>
    <cellStyle name="40% - Accent1 2 2 2 2 4 4" xfId="6231" xr:uid="{00000000-0005-0000-0000-0000911C0000}"/>
    <cellStyle name="40% - Accent1 2 2 2 2 4 5" xfId="19520" xr:uid="{00000000-0005-0000-0000-0000921C0000}"/>
    <cellStyle name="40% - Accent1 2 2 2 2 5" xfId="6232" xr:uid="{00000000-0005-0000-0000-0000931C0000}"/>
    <cellStyle name="40% - Accent1 2 2 2 2 5 2" xfId="6233" xr:uid="{00000000-0005-0000-0000-0000941C0000}"/>
    <cellStyle name="40% - Accent1 2 2 2 2 5 2 2" xfId="6234" xr:uid="{00000000-0005-0000-0000-0000951C0000}"/>
    <cellStyle name="40% - Accent1 2 2 2 2 5 2 3" xfId="22752" xr:uid="{00000000-0005-0000-0000-0000961C0000}"/>
    <cellStyle name="40% - Accent1 2 2 2 2 5 3" xfId="6235" xr:uid="{00000000-0005-0000-0000-0000971C0000}"/>
    <cellStyle name="40% - Accent1 2 2 2 2 5 4" xfId="20169" xr:uid="{00000000-0005-0000-0000-0000981C0000}"/>
    <cellStyle name="40% - Accent1 2 2 2 2 6" xfId="6236" xr:uid="{00000000-0005-0000-0000-0000991C0000}"/>
    <cellStyle name="40% - Accent1 2 2 2 2 6 2" xfId="6237" xr:uid="{00000000-0005-0000-0000-00009A1C0000}"/>
    <cellStyle name="40% - Accent1 2 2 2 2 6 3" xfId="21462" xr:uid="{00000000-0005-0000-0000-00009B1C0000}"/>
    <cellStyle name="40% - Accent1 2 2 2 2 7" xfId="6238" xr:uid="{00000000-0005-0000-0000-00009C1C0000}"/>
    <cellStyle name="40% - Accent1 2 2 2 2 8" xfId="18864" xr:uid="{00000000-0005-0000-0000-00009D1C0000}"/>
    <cellStyle name="40% - Accent1 2 2 2 3" xfId="6239" xr:uid="{00000000-0005-0000-0000-00009E1C0000}"/>
    <cellStyle name="40% - Accent1 2 2 2 3 2" xfId="6240" xr:uid="{00000000-0005-0000-0000-00009F1C0000}"/>
    <cellStyle name="40% - Accent1 2 2 2 3 2 2" xfId="6241" xr:uid="{00000000-0005-0000-0000-0000A01C0000}"/>
    <cellStyle name="40% - Accent1 2 2 2 3 2 2 2" xfId="6242" xr:uid="{00000000-0005-0000-0000-0000A11C0000}"/>
    <cellStyle name="40% - Accent1 2 2 2 3 2 2 2 2" xfId="6243" xr:uid="{00000000-0005-0000-0000-0000A21C0000}"/>
    <cellStyle name="40% - Accent1 2 2 2 3 2 2 2 2 2" xfId="6244" xr:uid="{00000000-0005-0000-0000-0000A31C0000}"/>
    <cellStyle name="40% - Accent1 2 2 2 3 2 2 2 2 3" xfId="23800" xr:uid="{00000000-0005-0000-0000-0000A41C0000}"/>
    <cellStyle name="40% - Accent1 2 2 2 3 2 2 2 3" xfId="6245" xr:uid="{00000000-0005-0000-0000-0000A51C0000}"/>
    <cellStyle name="40% - Accent1 2 2 2 3 2 2 2 4" xfId="21217" xr:uid="{00000000-0005-0000-0000-0000A61C0000}"/>
    <cellStyle name="40% - Accent1 2 2 2 3 2 2 3" xfId="6246" xr:uid="{00000000-0005-0000-0000-0000A71C0000}"/>
    <cellStyle name="40% - Accent1 2 2 2 3 2 2 3 2" xfId="6247" xr:uid="{00000000-0005-0000-0000-0000A81C0000}"/>
    <cellStyle name="40% - Accent1 2 2 2 3 2 2 3 3" xfId="22510" xr:uid="{00000000-0005-0000-0000-0000A91C0000}"/>
    <cellStyle name="40% - Accent1 2 2 2 3 2 2 4" xfId="6248" xr:uid="{00000000-0005-0000-0000-0000AA1C0000}"/>
    <cellStyle name="40% - Accent1 2 2 2 3 2 2 5" xfId="19923" xr:uid="{00000000-0005-0000-0000-0000AB1C0000}"/>
    <cellStyle name="40% - Accent1 2 2 2 3 2 3" xfId="6249" xr:uid="{00000000-0005-0000-0000-0000AC1C0000}"/>
    <cellStyle name="40% - Accent1 2 2 2 3 2 3 2" xfId="6250" xr:uid="{00000000-0005-0000-0000-0000AD1C0000}"/>
    <cellStyle name="40% - Accent1 2 2 2 3 2 3 2 2" xfId="6251" xr:uid="{00000000-0005-0000-0000-0000AE1C0000}"/>
    <cellStyle name="40% - Accent1 2 2 2 3 2 3 2 3" xfId="23155" xr:uid="{00000000-0005-0000-0000-0000AF1C0000}"/>
    <cellStyle name="40% - Accent1 2 2 2 3 2 3 3" xfId="6252" xr:uid="{00000000-0005-0000-0000-0000B01C0000}"/>
    <cellStyle name="40% - Accent1 2 2 2 3 2 3 4" xfId="20572" xr:uid="{00000000-0005-0000-0000-0000B11C0000}"/>
    <cellStyle name="40% - Accent1 2 2 2 3 2 4" xfId="6253" xr:uid="{00000000-0005-0000-0000-0000B21C0000}"/>
    <cellStyle name="40% - Accent1 2 2 2 3 2 4 2" xfId="6254" xr:uid="{00000000-0005-0000-0000-0000B31C0000}"/>
    <cellStyle name="40% - Accent1 2 2 2 3 2 4 3" xfId="21865" xr:uid="{00000000-0005-0000-0000-0000B41C0000}"/>
    <cellStyle name="40% - Accent1 2 2 2 3 2 5" xfId="6255" xr:uid="{00000000-0005-0000-0000-0000B51C0000}"/>
    <cellStyle name="40% - Accent1 2 2 2 3 2 6" xfId="19275" xr:uid="{00000000-0005-0000-0000-0000B61C0000}"/>
    <cellStyle name="40% - Accent1 2 2 2 3 3" xfId="6256" xr:uid="{00000000-0005-0000-0000-0000B71C0000}"/>
    <cellStyle name="40% - Accent1 2 2 2 3 3 2" xfId="6257" xr:uid="{00000000-0005-0000-0000-0000B81C0000}"/>
    <cellStyle name="40% - Accent1 2 2 2 3 3 2 2" xfId="6258" xr:uid="{00000000-0005-0000-0000-0000B91C0000}"/>
    <cellStyle name="40% - Accent1 2 2 2 3 3 2 2 2" xfId="6259" xr:uid="{00000000-0005-0000-0000-0000BA1C0000}"/>
    <cellStyle name="40% - Accent1 2 2 2 3 3 2 2 3" xfId="23478" xr:uid="{00000000-0005-0000-0000-0000BB1C0000}"/>
    <cellStyle name="40% - Accent1 2 2 2 3 3 2 3" xfId="6260" xr:uid="{00000000-0005-0000-0000-0000BC1C0000}"/>
    <cellStyle name="40% - Accent1 2 2 2 3 3 2 4" xfId="20895" xr:uid="{00000000-0005-0000-0000-0000BD1C0000}"/>
    <cellStyle name="40% - Accent1 2 2 2 3 3 3" xfId="6261" xr:uid="{00000000-0005-0000-0000-0000BE1C0000}"/>
    <cellStyle name="40% - Accent1 2 2 2 3 3 3 2" xfId="6262" xr:uid="{00000000-0005-0000-0000-0000BF1C0000}"/>
    <cellStyle name="40% - Accent1 2 2 2 3 3 3 3" xfId="22188" xr:uid="{00000000-0005-0000-0000-0000C01C0000}"/>
    <cellStyle name="40% - Accent1 2 2 2 3 3 4" xfId="6263" xr:uid="{00000000-0005-0000-0000-0000C11C0000}"/>
    <cellStyle name="40% - Accent1 2 2 2 3 3 5" xfId="19601" xr:uid="{00000000-0005-0000-0000-0000C21C0000}"/>
    <cellStyle name="40% - Accent1 2 2 2 3 4" xfId="6264" xr:uid="{00000000-0005-0000-0000-0000C31C0000}"/>
    <cellStyle name="40% - Accent1 2 2 2 3 4 2" xfId="6265" xr:uid="{00000000-0005-0000-0000-0000C41C0000}"/>
    <cellStyle name="40% - Accent1 2 2 2 3 4 2 2" xfId="6266" xr:uid="{00000000-0005-0000-0000-0000C51C0000}"/>
    <cellStyle name="40% - Accent1 2 2 2 3 4 2 3" xfId="22833" xr:uid="{00000000-0005-0000-0000-0000C61C0000}"/>
    <cellStyle name="40% - Accent1 2 2 2 3 4 3" xfId="6267" xr:uid="{00000000-0005-0000-0000-0000C71C0000}"/>
    <cellStyle name="40% - Accent1 2 2 2 3 4 4" xfId="20250" xr:uid="{00000000-0005-0000-0000-0000C81C0000}"/>
    <cellStyle name="40% - Accent1 2 2 2 3 5" xfId="6268" xr:uid="{00000000-0005-0000-0000-0000C91C0000}"/>
    <cellStyle name="40% - Accent1 2 2 2 3 5 2" xfId="6269" xr:uid="{00000000-0005-0000-0000-0000CA1C0000}"/>
    <cellStyle name="40% - Accent1 2 2 2 3 5 3" xfId="21543" xr:uid="{00000000-0005-0000-0000-0000CB1C0000}"/>
    <cellStyle name="40% - Accent1 2 2 2 3 6" xfId="6270" xr:uid="{00000000-0005-0000-0000-0000CC1C0000}"/>
    <cellStyle name="40% - Accent1 2 2 2 3 7" xfId="18949" xr:uid="{00000000-0005-0000-0000-0000CD1C0000}"/>
    <cellStyle name="40% - Accent1 2 2 2 4" xfId="6271" xr:uid="{00000000-0005-0000-0000-0000CE1C0000}"/>
    <cellStyle name="40% - Accent1 2 2 2 4 2" xfId="6272" xr:uid="{00000000-0005-0000-0000-0000CF1C0000}"/>
    <cellStyle name="40% - Accent1 2 2 2 4 2 2" xfId="6273" xr:uid="{00000000-0005-0000-0000-0000D01C0000}"/>
    <cellStyle name="40% - Accent1 2 2 2 4 2 2 2" xfId="6274" xr:uid="{00000000-0005-0000-0000-0000D11C0000}"/>
    <cellStyle name="40% - Accent1 2 2 2 4 2 2 2 2" xfId="6275" xr:uid="{00000000-0005-0000-0000-0000D21C0000}"/>
    <cellStyle name="40% - Accent1 2 2 2 4 2 2 2 3" xfId="23639" xr:uid="{00000000-0005-0000-0000-0000D31C0000}"/>
    <cellStyle name="40% - Accent1 2 2 2 4 2 2 3" xfId="6276" xr:uid="{00000000-0005-0000-0000-0000D41C0000}"/>
    <cellStyle name="40% - Accent1 2 2 2 4 2 2 4" xfId="21056" xr:uid="{00000000-0005-0000-0000-0000D51C0000}"/>
    <cellStyle name="40% - Accent1 2 2 2 4 2 3" xfId="6277" xr:uid="{00000000-0005-0000-0000-0000D61C0000}"/>
    <cellStyle name="40% - Accent1 2 2 2 4 2 3 2" xfId="6278" xr:uid="{00000000-0005-0000-0000-0000D71C0000}"/>
    <cellStyle name="40% - Accent1 2 2 2 4 2 3 3" xfId="22349" xr:uid="{00000000-0005-0000-0000-0000D81C0000}"/>
    <cellStyle name="40% - Accent1 2 2 2 4 2 4" xfId="6279" xr:uid="{00000000-0005-0000-0000-0000D91C0000}"/>
    <cellStyle name="40% - Accent1 2 2 2 4 2 5" xfId="19762" xr:uid="{00000000-0005-0000-0000-0000DA1C0000}"/>
    <cellStyle name="40% - Accent1 2 2 2 4 3" xfId="6280" xr:uid="{00000000-0005-0000-0000-0000DB1C0000}"/>
    <cellStyle name="40% - Accent1 2 2 2 4 3 2" xfId="6281" xr:uid="{00000000-0005-0000-0000-0000DC1C0000}"/>
    <cellStyle name="40% - Accent1 2 2 2 4 3 2 2" xfId="6282" xr:uid="{00000000-0005-0000-0000-0000DD1C0000}"/>
    <cellStyle name="40% - Accent1 2 2 2 4 3 2 3" xfId="22994" xr:uid="{00000000-0005-0000-0000-0000DE1C0000}"/>
    <cellStyle name="40% - Accent1 2 2 2 4 3 3" xfId="6283" xr:uid="{00000000-0005-0000-0000-0000DF1C0000}"/>
    <cellStyle name="40% - Accent1 2 2 2 4 3 4" xfId="20411" xr:uid="{00000000-0005-0000-0000-0000E01C0000}"/>
    <cellStyle name="40% - Accent1 2 2 2 4 4" xfId="6284" xr:uid="{00000000-0005-0000-0000-0000E11C0000}"/>
    <cellStyle name="40% - Accent1 2 2 2 4 4 2" xfId="6285" xr:uid="{00000000-0005-0000-0000-0000E21C0000}"/>
    <cellStyle name="40% - Accent1 2 2 2 4 4 3" xfId="21704" xr:uid="{00000000-0005-0000-0000-0000E31C0000}"/>
    <cellStyle name="40% - Accent1 2 2 2 4 5" xfId="6286" xr:uid="{00000000-0005-0000-0000-0000E41C0000}"/>
    <cellStyle name="40% - Accent1 2 2 2 4 6" xfId="19114" xr:uid="{00000000-0005-0000-0000-0000E51C0000}"/>
    <cellStyle name="40% - Accent1 2 2 2 5" xfId="6287" xr:uid="{00000000-0005-0000-0000-0000E61C0000}"/>
    <cellStyle name="40% - Accent1 2 2 2 5 2" xfId="6288" xr:uid="{00000000-0005-0000-0000-0000E71C0000}"/>
    <cellStyle name="40% - Accent1 2 2 2 5 2 2" xfId="6289" xr:uid="{00000000-0005-0000-0000-0000E81C0000}"/>
    <cellStyle name="40% - Accent1 2 2 2 5 2 2 2" xfId="6290" xr:uid="{00000000-0005-0000-0000-0000E91C0000}"/>
    <cellStyle name="40% - Accent1 2 2 2 5 2 2 3" xfId="23316" xr:uid="{00000000-0005-0000-0000-0000EA1C0000}"/>
    <cellStyle name="40% - Accent1 2 2 2 5 2 3" xfId="6291" xr:uid="{00000000-0005-0000-0000-0000EB1C0000}"/>
    <cellStyle name="40% - Accent1 2 2 2 5 2 4" xfId="20733" xr:uid="{00000000-0005-0000-0000-0000EC1C0000}"/>
    <cellStyle name="40% - Accent1 2 2 2 5 3" xfId="6292" xr:uid="{00000000-0005-0000-0000-0000ED1C0000}"/>
    <cellStyle name="40% - Accent1 2 2 2 5 3 2" xfId="6293" xr:uid="{00000000-0005-0000-0000-0000EE1C0000}"/>
    <cellStyle name="40% - Accent1 2 2 2 5 3 3" xfId="22026" xr:uid="{00000000-0005-0000-0000-0000EF1C0000}"/>
    <cellStyle name="40% - Accent1 2 2 2 5 4" xfId="6294" xr:uid="{00000000-0005-0000-0000-0000F01C0000}"/>
    <cellStyle name="40% - Accent1 2 2 2 5 5" xfId="19440" xr:uid="{00000000-0005-0000-0000-0000F11C0000}"/>
    <cellStyle name="40% - Accent1 2 2 2 6" xfId="6295" xr:uid="{00000000-0005-0000-0000-0000F21C0000}"/>
    <cellStyle name="40% - Accent1 2 2 2 6 2" xfId="6296" xr:uid="{00000000-0005-0000-0000-0000F31C0000}"/>
    <cellStyle name="40% - Accent1 2 2 2 6 2 2" xfId="6297" xr:uid="{00000000-0005-0000-0000-0000F41C0000}"/>
    <cellStyle name="40% - Accent1 2 2 2 6 2 3" xfId="22671" xr:uid="{00000000-0005-0000-0000-0000F51C0000}"/>
    <cellStyle name="40% - Accent1 2 2 2 6 3" xfId="6298" xr:uid="{00000000-0005-0000-0000-0000F61C0000}"/>
    <cellStyle name="40% - Accent1 2 2 2 6 4" xfId="20088" xr:uid="{00000000-0005-0000-0000-0000F71C0000}"/>
    <cellStyle name="40% - Accent1 2 2 2 7" xfId="6299" xr:uid="{00000000-0005-0000-0000-0000F81C0000}"/>
    <cellStyle name="40% - Accent1 2 2 2 7 2" xfId="6300" xr:uid="{00000000-0005-0000-0000-0000F91C0000}"/>
    <cellStyle name="40% - Accent1 2 2 2 7 3" xfId="21381" xr:uid="{00000000-0005-0000-0000-0000FA1C0000}"/>
    <cellStyle name="40% - Accent1 2 2 2 8" xfId="6301" xr:uid="{00000000-0005-0000-0000-0000FB1C0000}"/>
    <cellStyle name="40% - Accent1 2 2 2 9" xfId="18767" xr:uid="{00000000-0005-0000-0000-0000FC1C0000}"/>
    <cellStyle name="40% - Accent1 2 2 3" xfId="6302" xr:uid="{00000000-0005-0000-0000-0000FD1C0000}"/>
    <cellStyle name="40% - Accent1 2 2 3 2" xfId="6303" xr:uid="{00000000-0005-0000-0000-0000FE1C0000}"/>
    <cellStyle name="40% - Accent1 2 2 3 2 2" xfId="6304" xr:uid="{00000000-0005-0000-0000-0000FF1C0000}"/>
    <cellStyle name="40% - Accent1 2 2 3 2 2 2" xfId="6305" xr:uid="{00000000-0005-0000-0000-0000001D0000}"/>
    <cellStyle name="40% - Accent1 2 2 3 2 2 2 2" xfId="6306" xr:uid="{00000000-0005-0000-0000-0000011D0000}"/>
    <cellStyle name="40% - Accent1 2 2 3 2 2 2 2 2" xfId="6307" xr:uid="{00000000-0005-0000-0000-0000021D0000}"/>
    <cellStyle name="40% - Accent1 2 2 3 2 2 2 2 2 2" xfId="6308" xr:uid="{00000000-0005-0000-0000-0000031D0000}"/>
    <cellStyle name="40% - Accent1 2 2 3 2 2 2 2 2 3" xfId="23840" xr:uid="{00000000-0005-0000-0000-0000041D0000}"/>
    <cellStyle name="40% - Accent1 2 2 3 2 2 2 2 3" xfId="6309" xr:uid="{00000000-0005-0000-0000-0000051D0000}"/>
    <cellStyle name="40% - Accent1 2 2 3 2 2 2 2 4" xfId="21257" xr:uid="{00000000-0005-0000-0000-0000061D0000}"/>
    <cellStyle name="40% - Accent1 2 2 3 2 2 2 3" xfId="6310" xr:uid="{00000000-0005-0000-0000-0000071D0000}"/>
    <cellStyle name="40% - Accent1 2 2 3 2 2 2 3 2" xfId="6311" xr:uid="{00000000-0005-0000-0000-0000081D0000}"/>
    <cellStyle name="40% - Accent1 2 2 3 2 2 2 3 3" xfId="22550" xr:uid="{00000000-0005-0000-0000-0000091D0000}"/>
    <cellStyle name="40% - Accent1 2 2 3 2 2 2 4" xfId="6312" xr:uid="{00000000-0005-0000-0000-00000A1D0000}"/>
    <cellStyle name="40% - Accent1 2 2 3 2 2 2 5" xfId="19963" xr:uid="{00000000-0005-0000-0000-00000B1D0000}"/>
    <cellStyle name="40% - Accent1 2 2 3 2 2 3" xfId="6313" xr:uid="{00000000-0005-0000-0000-00000C1D0000}"/>
    <cellStyle name="40% - Accent1 2 2 3 2 2 3 2" xfId="6314" xr:uid="{00000000-0005-0000-0000-00000D1D0000}"/>
    <cellStyle name="40% - Accent1 2 2 3 2 2 3 2 2" xfId="6315" xr:uid="{00000000-0005-0000-0000-00000E1D0000}"/>
    <cellStyle name="40% - Accent1 2 2 3 2 2 3 2 3" xfId="23195" xr:uid="{00000000-0005-0000-0000-00000F1D0000}"/>
    <cellStyle name="40% - Accent1 2 2 3 2 2 3 3" xfId="6316" xr:uid="{00000000-0005-0000-0000-0000101D0000}"/>
    <cellStyle name="40% - Accent1 2 2 3 2 2 3 4" xfId="20612" xr:uid="{00000000-0005-0000-0000-0000111D0000}"/>
    <cellStyle name="40% - Accent1 2 2 3 2 2 4" xfId="6317" xr:uid="{00000000-0005-0000-0000-0000121D0000}"/>
    <cellStyle name="40% - Accent1 2 2 3 2 2 4 2" xfId="6318" xr:uid="{00000000-0005-0000-0000-0000131D0000}"/>
    <cellStyle name="40% - Accent1 2 2 3 2 2 4 3" xfId="21905" xr:uid="{00000000-0005-0000-0000-0000141D0000}"/>
    <cellStyle name="40% - Accent1 2 2 3 2 2 5" xfId="6319" xr:uid="{00000000-0005-0000-0000-0000151D0000}"/>
    <cellStyle name="40% - Accent1 2 2 3 2 2 6" xfId="19315" xr:uid="{00000000-0005-0000-0000-0000161D0000}"/>
    <cellStyle name="40% - Accent1 2 2 3 2 3" xfId="6320" xr:uid="{00000000-0005-0000-0000-0000171D0000}"/>
    <cellStyle name="40% - Accent1 2 2 3 2 3 2" xfId="6321" xr:uid="{00000000-0005-0000-0000-0000181D0000}"/>
    <cellStyle name="40% - Accent1 2 2 3 2 3 2 2" xfId="6322" xr:uid="{00000000-0005-0000-0000-0000191D0000}"/>
    <cellStyle name="40% - Accent1 2 2 3 2 3 2 2 2" xfId="6323" xr:uid="{00000000-0005-0000-0000-00001A1D0000}"/>
    <cellStyle name="40% - Accent1 2 2 3 2 3 2 2 3" xfId="23518" xr:uid="{00000000-0005-0000-0000-00001B1D0000}"/>
    <cellStyle name="40% - Accent1 2 2 3 2 3 2 3" xfId="6324" xr:uid="{00000000-0005-0000-0000-00001C1D0000}"/>
    <cellStyle name="40% - Accent1 2 2 3 2 3 2 4" xfId="20935" xr:uid="{00000000-0005-0000-0000-00001D1D0000}"/>
    <cellStyle name="40% - Accent1 2 2 3 2 3 3" xfId="6325" xr:uid="{00000000-0005-0000-0000-00001E1D0000}"/>
    <cellStyle name="40% - Accent1 2 2 3 2 3 3 2" xfId="6326" xr:uid="{00000000-0005-0000-0000-00001F1D0000}"/>
    <cellStyle name="40% - Accent1 2 2 3 2 3 3 3" xfId="22228" xr:uid="{00000000-0005-0000-0000-0000201D0000}"/>
    <cellStyle name="40% - Accent1 2 2 3 2 3 4" xfId="6327" xr:uid="{00000000-0005-0000-0000-0000211D0000}"/>
    <cellStyle name="40% - Accent1 2 2 3 2 3 5" xfId="19641" xr:uid="{00000000-0005-0000-0000-0000221D0000}"/>
    <cellStyle name="40% - Accent1 2 2 3 2 4" xfId="6328" xr:uid="{00000000-0005-0000-0000-0000231D0000}"/>
    <cellStyle name="40% - Accent1 2 2 3 2 4 2" xfId="6329" xr:uid="{00000000-0005-0000-0000-0000241D0000}"/>
    <cellStyle name="40% - Accent1 2 2 3 2 4 2 2" xfId="6330" xr:uid="{00000000-0005-0000-0000-0000251D0000}"/>
    <cellStyle name="40% - Accent1 2 2 3 2 4 2 3" xfId="22873" xr:uid="{00000000-0005-0000-0000-0000261D0000}"/>
    <cellStyle name="40% - Accent1 2 2 3 2 4 3" xfId="6331" xr:uid="{00000000-0005-0000-0000-0000271D0000}"/>
    <cellStyle name="40% - Accent1 2 2 3 2 4 4" xfId="20290" xr:uid="{00000000-0005-0000-0000-0000281D0000}"/>
    <cellStyle name="40% - Accent1 2 2 3 2 5" xfId="6332" xr:uid="{00000000-0005-0000-0000-0000291D0000}"/>
    <cellStyle name="40% - Accent1 2 2 3 2 5 2" xfId="6333" xr:uid="{00000000-0005-0000-0000-00002A1D0000}"/>
    <cellStyle name="40% - Accent1 2 2 3 2 5 3" xfId="21583" xr:uid="{00000000-0005-0000-0000-00002B1D0000}"/>
    <cellStyle name="40% - Accent1 2 2 3 2 6" xfId="6334" xr:uid="{00000000-0005-0000-0000-00002C1D0000}"/>
    <cellStyle name="40% - Accent1 2 2 3 2 7" xfId="18989" xr:uid="{00000000-0005-0000-0000-00002D1D0000}"/>
    <cellStyle name="40% - Accent1 2 2 3 3" xfId="6335" xr:uid="{00000000-0005-0000-0000-00002E1D0000}"/>
    <cellStyle name="40% - Accent1 2 2 3 3 2" xfId="6336" xr:uid="{00000000-0005-0000-0000-00002F1D0000}"/>
    <cellStyle name="40% - Accent1 2 2 3 3 2 2" xfId="6337" xr:uid="{00000000-0005-0000-0000-0000301D0000}"/>
    <cellStyle name="40% - Accent1 2 2 3 3 2 2 2" xfId="6338" xr:uid="{00000000-0005-0000-0000-0000311D0000}"/>
    <cellStyle name="40% - Accent1 2 2 3 3 2 2 2 2" xfId="6339" xr:uid="{00000000-0005-0000-0000-0000321D0000}"/>
    <cellStyle name="40% - Accent1 2 2 3 3 2 2 2 3" xfId="23679" xr:uid="{00000000-0005-0000-0000-0000331D0000}"/>
    <cellStyle name="40% - Accent1 2 2 3 3 2 2 3" xfId="6340" xr:uid="{00000000-0005-0000-0000-0000341D0000}"/>
    <cellStyle name="40% - Accent1 2 2 3 3 2 2 4" xfId="21096" xr:uid="{00000000-0005-0000-0000-0000351D0000}"/>
    <cellStyle name="40% - Accent1 2 2 3 3 2 3" xfId="6341" xr:uid="{00000000-0005-0000-0000-0000361D0000}"/>
    <cellStyle name="40% - Accent1 2 2 3 3 2 3 2" xfId="6342" xr:uid="{00000000-0005-0000-0000-0000371D0000}"/>
    <cellStyle name="40% - Accent1 2 2 3 3 2 3 3" xfId="22389" xr:uid="{00000000-0005-0000-0000-0000381D0000}"/>
    <cellStyle name="40% - Accent1 2 2 3 3 2 4" xfId="6343" xr:uid="{00000000-0005-0000-0000-0000391D0000}"/>
    <cellStyle name="40% - Accent1 2 2 3 3 2 5" xfId="19802" xr:uid="{00000000-0005-0000-0000-00003A1D0000}"/>
    <cellStyle name="40% - Accent1 2 2 3 3 3" xfId="6344" xr:uid="{00000000-0005-0000-0000-00003B1D0000}"/>
    <cellStyle name="40% - Accent1 2 2 3 3 3 2" xfId="6345" xr:uid="{00000000-0005-0000-0000-00003C1D0000}"/>
    <cellStyle name="40% - Accent1 2 2 3 3 3 2 2" xfId="6346" xr:uid="{00000000-0005-0000-0000-00003D1D0000}"/>
    <cellStyle name="40% - Accent1 2 2 3 3 3 2 3" xfId="23034" xr:uid="{00000000-0005-0000-0000-00003E1D0000}"/>
    <cellStyle name="40% - Accent1 2 2 3 3 3 3" xfId="6347" xr:uid="{00000000-0005-0000-0000-00003F1D0000}"/>
    <cellStyle name="40% - Accent1 2 2 3 3 3 4" xfId="20451" xr:uid="{00000000-0005-0000-0000-0000401D0000}"/>
    <cellStyle name="40% - Accent1 2 2 3 3 4" xfId="6348" xr:uid="{00000000-0005-0000-0000-0000411D0000}"/>
    <cellStyle name="40% - Accent1 2 2 3 3 4 2" xfId="6349" xr:uid="{00000000-0005-0000-0000-0000421D0000}"/>
    <cellStyle name="40% - Accent1 2 2 3 3 4 3" xfId="21744" xr:uid="{00000000-0005-0000-0000-0000431D0000}"/>
    <cellStyle name="40% - Accent1 2 2 3 3 5" xfId="6350" xr:uid="{00000000-0005-0000-0000-0000441D0000}"/>
    <cellStyle name="40% - Accent1 2 2 3 3 6" xfId="19154" xr:uid="{00000000-0005-0000-0000-0000451D0000}"/>
    <cellStyle name="40% - Accent1 2 2 3 4" xfId="6351" xr:uid="{00000000-0005-0000-0000-0000461D0000}"/>
    <cellStyle name="40% - Accent1 2 2 3 4 2" xfId="6352" xr:uid="{00000000-0005-0000-0000-0000471D0000}"/>
    <cellStyle name="40% - Accent1 2 2 3 4 2 2" xfId="6353" xr:uid="{00000000-0005-0000-0000-0000481D0000}"/>
    <cellStyle name="40% - Accent1 2 2 3 4 2 2 2" xfId="6354" xr:uid="{00000000-0005-0000-0000-0000491D0000}"/>
    <cellStyle name="40% - Accent1 2 2 3 4 2 2 3" xfId="23357" xr:uid="{00000000-0005-0000-0000-00004A1D0000}"/>
    <cellStyle name="40% - Accent1 2 2 3 4 2 3" xfId="6355" xr:uid="{00000000-0005-0000-0000-00004B1D0000}"/>
    <cellStyle name="40% - Accent1 2 2 3 4 2 4" xfId="20774" xr:uid="{00000000-0005-0000-0000-00004C1D0000}"/>
    <cellStyle name="40% - Accent1 2 2 3 4 3" xfId="6356" xr:uid="{00000000-0005-0000-0000-00004D1D0000}"/>
    <cellStyle name="40% - Accent1 2 2 3 4 3 2" xfId="6357" xr:uid="{00000000-0005-0000-0000-00004E1D0000}"/>
    <cellStyle name="40% - Accent1 2 2 3 4 3 3" xfId="22067" xr:uid="{00000000-0005-0000-0000-00004F1D0000}"/>
    <cellStyle name="40% - Accent1 2 2 3 4 4" xfId="6358" xr:uid="{00000000-0005-0000-0000-0000501D0000}"/>
    <cellStyle name="40% - Accent1 2 2 3 4 5" xfId="19480" xr:uid="{00000000-0005-0000-0000-0000511D0000}"/>
    <cellStyle name="40% - Accent1 2 2 3 5" xfId="6359" xr:uid="{00000000-0005-0000-0000-0000521D0000}"/>
    <cellStyle name="40% - Accent1 2 2 3 5 2" xfId="6360" xr:uid="{00000000-0005-0000-0000-0000531D0000}"/>
    <cellStyle name="40% - Accent1 2 2 3 5 2 2" xfId="6361" xr:uid="{00000000-0005-0000-0000-0000541D0000}"/>
    <cellStyle name="40% - Accent1 2 2 3 5 2 3" xfId="22712" xr:uid="{00000000-0005-0000-0000-0000551D0000}"/>
    <cellStyle name="40% - Accent1 2 2 3 5 3" xfId="6362" xr:uid="{00000000-0005-0000-0000-0000561D0000}"/>
    <cellStyle name="40% - Accent1 2 2 3 5 4" xfId="20129" xr:uid="{00000000-0005-0000-0000-0000571D0000}"/>
    <cellStyle name="40% - Accent1 2 2 3 6" xfId="6363" xr:uid="{00000000-0005-0000-0000-0000581D0000}"/>
    <cellStyle name="40% - Accent1 2 2 3 6 2" xfId="6364" xr:uid="{00000000-0005-0000-0000-0000591D0000}"/>
    <cellStyle name="40% - Accent1 2 2 3 6 3" xfId="21422" xr:uid="{00000000-0005-0000-0000-00005A1D0000}"/>
    <cellStyle name="40% - Accent1 2 2 3 7" xfId="6365" xr:uid="{00000000-0005-0000-0000-00005B1D0000}"/>
    <cellStyle name="40% - Accent1 2 2 3 8" xfId="18823" xr:uid="{00000000-0005-0000-0000-00005C1D0000}"/>
    <cellStyle name="40% - Accent1 2 2 4" xfId="6366" xr:uid="{00000000-0005-0000-0000-00005D1D0000}"/>
    <cellStyle name="40% - Accent1 2 2 4 2" xfId="6367" xr:uid="{00000000-0005-0000-0000-00005E1D0000}"/>
    <cellStyle name="40% - Accent1 2 2 4 2 2" xfId="6368" xr:uid="{00000000-0005-0000-0000-00005F1D0000}"/>
    <cellStyle name="40% - Accent1 2 2 4 2 2 2" xfId="6369" xr:uid="{00000000-0005-0000-0000-0000601D0000}"/>
    <cellStyle name="40% - Accent1 2 2 4 2 2 2 2" xfId="6370" xr:uid="{00000000-0005-0000-0000-0000611D0000}"/>
    <cellStyle name="40% - Accent1 2 2 4 2 2 2 2 2" xfId="6371" xr:uid="{00000000-0005-0000-0000-0000621D0000}"/>
    <cellStyle name="40% - Accent1 2 2 4 2 2 2 2 3" xfId="23760" xr:uid="{00000000-0005-0000-0000-0000631D0000}"/>
    <cellStyle name="40% - Accent1 2 2 4 2 2 2 3" xfId="6372" xr:uid="{00000000-0005-0000-0000-0000641D0000}"/>
    <cellStyle name="40% - Accent1 2 2 4 2 2 2 4" xfId="21177" xr:uid="{00000000-0005-0000-0000-0000651D0000}"/>
    <cellStyle name="40% - Accent1 2 2 4 2 2 3" xfId="6373" xr:uid="{00000000-0005-0000-0000-0000661D0000}"/>
    <cellStyle name="40% - Accent1 2 2 4 2 2 3 2" xfId="6374" xr:uid="{00000000-0005-0000-0000-0000671D0000}"/>
    <cellStyle name="40% - Accent1 2 2 4 2 2 3 3" xfId="22470" xr:uid="{00000000-0005-0000-0000-0000681D0000}"/>
    <cellStyle name="40% - Accent1 2 2 4 2 2 4" xfId="6375" xr:uid="{00000000-0005-0000-0000-0000691D0000}"/>
    <cellStyle name="40% - Accent1 2 2 4 2 2 5" xfId="19883" xr:uid="{00000000-0005-0000-0000-00006A1D0000}"/>
    <cellStyle name="40% - Accent1 2 2 4 2 3" xfId="6376" xr:uid="{00000000-0005-0000-0000-00006B1D0000}"/>
    <cellStyle name="40% - Accent1 2 2 4 2 3 2" xfId="6377" xr:uid="{00000000-0005-0000-0000-00006C1D0000}"/>
    <cellStyle name="40% - Accent1 2 2 4 2 3 2 2" xfId="6378" xr:uid="{00000000-0005-0000-0000-00006D1D0000}"/>
    <cellStyle name="40% - Accent1 2 2 4 2 3 2 3" xfId="23115" xr:uid="{00000000-0005-0000-0000-00006E1D0000}"/>
    <cellStyle name="40% - Accent1 2 2 4 2 3 3" xfId="6379" xr:uid="{00000000-0005-0000-0000-00006F1D0000}"/>
    <cellStyle name="40% - Accent1 2 2 4 2 3 4" xfId="20532" xr:uid="{00000000-0005-0000-0000-0000701D0000}"/>
    <cellStyle name="40% - Accent1 2 2 4 2 4" xfId="6380" xr:uid="{00000000-0005-0000-0000-0000711D0000}"/>
    <cellStyle name="40% - Accent1 2 2 4 2 4 2" xfId="6381" xr:uid="{00000000-0005-0000-0000-0000721D0000}"/>
    <cellStyle name="40% - Accent1 2 2 4 2 4 3" xfId="21825" xr:uid="{00000000-0005-0000-0000-0000731D0000}"/>
    <cellStyle name="40% - Accent1 2 2 4 2 5" xfId="6382" xr:uid="{00000000-0005-0000-0000-0000741D0000}"/>
    <cellStyle name="40% - Accent1 2 2 4 2 6" xfId="19235" xr:uid="{00000000-0005-0000-0000-0000751D0000}"/>
    <cellStyle name="40% - Accent1 2 2 4 3" xfId="6383" xr:uid="{00000000-0005-0000-0000-0000761D0000}"/>
    <cellStyle name="40% - Accent1 2 2 4 3 2" xfId="6384" xr:uid="{00000000-0005-0000-0000-0000771D0000}"/>
    <cellStyle name="40% - Accent1 2 2 4 3 2 2" xfId="6385" xr:uid="{00000000-0005-0000-0000-0000781D0000}"/>
    <cellStyle name="40% - Accent1 2 2 4 3 2 2 2" xfId="6386" xr:uid="{00000000-0005-0000-0000-0000791D0000}"/>
    <cellStyle name="40% - Accent1 2 2 4 3 2 2 3" xfId="23438" xr:uid="{00000000-0005-0000-0000-00007A1D0000}"/>
    <cellStyle name="40% - Accent1 2 2 4 3 2 3" xfId="6387" xr:uid="{00000000-0005-0000-0000-00007B1D0000}"/>
    <cellStyle name="40% - Accent1 2 2 4 3 2 4" xfId="20855" xr:uid="{00000000-0005-0000-0000-00007C1D0000}"/>
    <cellStyle name="40% - Accent1 2 2 4 3 3" xfId="6388" xr:uid="{00000000-0005-0000-0000-00007D1D0000}"/>
    <cellStyle name="40% - Accent1 2 2 4 3 3 2" xfId="6389" xr:uid="{00000000-0005-0000-0000-00007E1D0000}"/>
    <cellStyle name="40% - Accent1 2 2 4 3 3 3" xfId="22148" xr:uid="{00000000-0005-0000-0000-00007F1D0000}"/>
    <cellStyle name="40% - Accent1 2 2 4 3 4" xfId="6390" xr:uid="{00000000-0005-0000-0000-0000801D0000}"/>
    <cellStyle name="40% - Accent1 2 2 4 3 5" xfId="19561" xr:uid="{00000000-0005-0000-0000-0000811D0000}"/>
    <cellStyle name="40% - Accent1 2 2 4 4" xfId="6391" xr:uid="{00000000-0005-0000-0000-0000821D0000}"/>
    <cellStyle name="40% - Accent1 2 2 4 4 2" xfId="6392" xr:uid="{00000000-0005-0000-0000-0000831D0000}"/>
    <cellStyle name="40% - Accent1 2 2 4 4 2 2" xfId="6393" xr:uid="{00000000-0005-0000-0000-0000841D0000}"/>
    <cellStyle name="40% - Accent1 2 2 4 4 2 3" xfId="22793" xr:uid="{00000000-0005-0000-0000-0000851D0000}"/>
    <cellStyle name="40% - Accent1 2 2 4 4 3" xfId="6394" xr:uid="{00000000-0005-0000-0000-0000861D0000}"/>
    <cellStyle name="40% - Accent1 2 2 4 4 4" xfId="20210" xr:uid="{00000000-0005-0000-0000-0000871D0000}"/>
    <cellStyle name="40% - Accent1 2 2 4 5" xfId="6395" xr:uid="{00000000-0005-0000-0000-0000881D0000}"/>
    <cellStyle name="40% - Accent1 2 2 4 5 2" xfId="6396" xr:uid="{00000000-0005-0000-0000-0000891D0000}"/>
    <cellStyle name="40% - Accent1 2 2 4 5 3" xfId="21503" xr:uid="{00000000-0005-0000-0000-00008A1D0000}"/>
    <cellStyle name="40% - Accent1 2 2 4 6" xfId="6397" xr:uid="{00000000-0005-0000-0000-00008B1D0000}"/>
    <cellStyle name="40% - Accent1 2 2 4 7" xfId="18909" xr:uid="{00000000-0005-0000-0000-00008C1D0000}"/>
    <cellStyle name="40% - Accent1 2 2 5" xfId="6398" xr:uid="{00000000-0005-0000-0000-00008D1D0000}"/>
    <cellStyle name="40% - Accent1 2 2 5 2" xfId="6399" xr:uid="{00000000-0005-0000-0000-00008E1D0000}"/>
    <cellStyle name="40% - Accent1 2 2 5 2 2" xfId="6400" xr:uid="{00000000-0005-0000-0000-00008F1D0000}"/>
    <cellStyle name="40% - Accent1 2 2 5 2 2 2" xfId="6401" xr:uid="{00000000-0005-0000-0000-0000901D0000}"/>
    <cellStyle name="40% - Accent1 2 2 5 2 2 2 2" xfId="6402" xr:uid="{00000000-0005-0000-0000-0000911D0000}"/>
    <cellStyle name="40% - Accent1 2 2 5 2 2 2 3" xfId="23599" xr:uid="{00000000-0005-0000-0000-0000921D0000}"/>
    <cellStyle name="40% - Accent1 2 2 5 2 2 3" xfId="6403" xr:uid="{00000000-0005-0000-0000-0000931D0000}"/>
    <cellStyle name="40% - Accent1 2 2 5 2 2 4" xfId="21016" xr:uid="{00000000-0005-0000-0000-0000941D0000}"/>
    <cellStyle name="40% - Accent1 2 2 5 2 3" xfId="6404" xr:uid="{00000000-0005-0000-0000-0000951D0000}"/>
    <cellStyle name="40% - Accent1 2 2 5 2 3 2" xfId="6405" xr:uid="{00000000-0005-0000-0000-0000961D0000}"/>
    <cellStyle name="40% - Accent1 2 2 5 2 3 3" xfId="22309" xr:uid="{00000000-0005-0000-0000-0000971D0000}"/>
    <cellStyle name="40% - Accent1 2 2 5 2 4" xfId="6406" xr:uid="{00000000-0005-0000-0000-0000981D0000}"/>
    <cellStyle name="40% - Accent1 2 2 5 2 5" xfId="19722" xr:uid="{00000000-0005-0000-0000-0000991D0000}"/>
    <cellStyle name="40% - Accent1 2 2 5 3" xfId="6407" xr:uid="{00000000-0005-0000-0000-00009A1D0000}"/>
    <cellStyle name="40% - Accent1 2 2 5 3 2" xfId="6408" xr:uid="{00000000-0005-0000-0000-00009B1D0000}"/>
    <cellStyle name="40% - Accent1 2 2 5 3 2 2" xfId="6409" xr:uid="{00000000-0005-0000-0000-00009C1D0000}"/>
    <cellStyle name="40% - Accent1 2 2 5 3 2 3" xfId="22954" xr:uid="{00000000-0005-0000-0000-00009D1D0000}"/>
    <cellStyle name="40% - Accent1 2 2 5 3 3" xfId="6410" xr:uid="{00000000-0005-0000-0000-00009E1D0000}"/>
    <cellStyle name="40% - Accent1 2 2 5 3 4" xfId="20371" xr:uid="{00000000-0005-0000-0000-00009F1D0000}"/>
    <cellStyle name="40% - Accent1 2 2 5 4" xfId="6411" xr:uid="{00000000-0005-0000-0000-0000A01D0000}"/>
    <cellStyle name="40% - Accent1 2 2 5 4 2" xfId="6412" xr:uid="{00000000-0005-0000-0000-0000A11D0000}"/>
    <cellStyle name="40% - Accent1 2 2 5 4 3" xfId="21664" xr:uid="{00000000-0005-0000-0000-0000A21D0000}"/>
    <cellStyle name="40% - Accent1 2 2 5 5" xfId="6413" xr:uid="{00000000-0005-0000-0000-0000A31D0000}"/>
    <cellStyle name="40% - Accent1 2 2 5 6" xfId="19074" xr:uid="{00000000-0005-0000-0000-0000A41D0000}"/>
    <cellStyle name="40% - Accent1 2 2 6" xfId="6414" xr:uid="{00000000-0005-0000-0000-0000A51D0000}"/>
    <cellStyle name="40% - Accent1 2 2 6 2" xfId="6415" xr:uid="{00000000-0005-0000-0000-0000A61D0000}"/>
    <cellStyle name="40% - Accent1 2 2 6 2 2" xfId="6416" xr:uid="{00000000-0005-0000-0000-0000A71D0000}"/>
    <cellStyle name="40% - Accent1 2 2 6 2 2 2" xfId="6417" xr:uid="{00000000-0005-0000-0000-0000A81D0000}"/>
    <cellStyle name="40% - Accent1 2 2 6 2 2 3" xfId="23276" xr:uid="{00000000-0005-0000-0000-0000A91D0000}"/>
    <cellStyle name="40% - Accent1 2 2 6 2 3" xfId="6418" xr:uid="{00000000-0005-0000-0000-0000AA1D0000}"/>
    <cellStyle name="40% - Accent1 2 2 6 2 4" xfId="20693" xr:uid="{00000000-0005-0000-0000-0000AB1D0000}"/>
    <cellStyle name="40% - Accent1 2 2 6 3" xfId="6419" xr:uid="{00000000-0005-0000-0000-0000AC1D0000}"/>
    <cellStyle name="40% - Accent1 2 2 6 3 2" xfId="6420" xr:uid="{00000000-0005-0000-0000-0000AD1D0000}"/>
    <cellStyle name="40% - Accent1 2 2 6 3 3" xfId="21986" xr:uid="{00000000-0005-0000-0000-0000AE1D0000}"/>
    <cellStyle name="40% - Accent1 2 2 6 4" xfId="6421" xr:uid="{00000000-0005-0000-0000-0000AF1D0000}"/>
    <cellStyle name="40% - Accent1 2 2 6 5" xfId="19400" xr:uid="{00000000-0005-0000-0000-0000B01D0000}"/>
    <cellStyle name="40% - Accent1 2 2 7" xfId="6422" xr:uid="{00000000-0005-0000-0000-0000B11D0000}"/>
    <cellStyle name="40% - Accent1 2 2 7 2" xfId="6423" xr:uid="{00000000-0005-0000-0000-0000B21D0000}"/>
    <cellStyle name="40% - Accent1 2 2 7 2 2" xfId="6424" xr:uid="{00000000-0005-0000-0000-0000B31D0000}"/>
    <cellStyle name="40% - Accent1 2 2 7 2 3" xfId="22631" xr:uid="{00000000-0005-0000-0000-0000B41D0000}"/>
    <cellStyle name="40% - Accent1 2 2 7 3" xfId="6425" xr:uid="{00000000-0005-0000-0000-0000B51D0000}"/>
    <cellStyle name="40% - Accent1 2 2 7 4" xfId="20048" xr:uid="{00000000-0005-0000-0000-0000B61D0000}"/>
    <cellStyle name="40% - Accent1 2 2 8" xfId="6426" xr:uid="{00000000-0005-0000-0000-0000B71D0000}"/>
    <cellStyle name="40% - Accent1 2 2 8 2" xfId="6427" xr:uid="{00000000-0005-0000-0000-0000B81D0000}"/>
    <cellStyle name="40% - Accent1 2 2 8 3" xfId="21341" xr:uid="{00000000-0005-0000-0000-0000B91D0000}"/>
    <cellStyle name="40% - Accent1 2 2 9" xfId="6428" xr:uid="{00000000-0005-0000-0000-0000BA1D0000}"/>
    <cellStyle name="40% - Accent1 2 3" xfId="6429" xr:uid="{00000000-0005-0000-0000-0000BB1D0000}"/>
    <cellStyle name="40% - Accent1 2 3 2" xfId="6430" xr:uid="{00000000-0005-0000-0000-0000BC1D0000}"/>
    <cellStyle name="40% - Accent1 2 3 2 2" xfId="6431" xr:uid="{00000000-0005-0000-0000-0000BD1D0000}"/>
    <cellStyle name="40% - Accent1 2 3 2 2 2" xfId="6432" xr:uid="{00000000-0005-0000-0000-0000BE1D0000}"/>
    <cellStyle name="40% - Accent1 2 3 2 2 2 2" xfId="6433" xr:uid="{00000000-0005-0000-0000-0000BF1D0000}"/>
    <cellStyle name="40% - Accent1 2 3 2 2 2 2 2" xfId="6434" xr:uid="{00000000-0005-0000-0000-0000C01D0000}"/>
    <cellStyle name="40% - Accent1 2 3 2 2 2 2 2 2" xfId="6435" xr:uid="{00000000-0005-0000-0000-0000C11D0000}"/>
    <cellStyle name="40% - Accent1 2 3 2 2 2 2 2 2 2" xfId="6436" xr:uid="{00000000-0005-0000-0000-0000C21D0000}"/>
    <cellStyle name="40% - Accent1 2 3 2 2 2 2 2 2 3" xfId="23860" xr:uid="{00000000-0005-0000-0000-0000C31D0000}"/>
    <cellStyle name="40% - Accent1 2 3 2 2 2 2 2 3" xfId="6437" xr:uid="{00000000-0005-0000-0000-0000C41D0000}"/>
    <cellStyle name="40% - Accent1 2 3 2 2 2 2 2 4" xfId="21277" xr:uid="{00000000-0005-0000-0000-0000C51D0000}"/>
    <cellStyle name="40% - Accent1 2 3 2 2 2 2 3" xfId="6438" xr:uid="{00000000-0005-0000-0000-0000C61D0000}"/>
    <cellStyle name="40% - Accent1 2 3 2 2 2 2 3 2" xfId="6439" xr:uid="{00000000-0005-0000-0000-0000C71D0000}"/>
    <cellStyle name="40% - Accent1 2 3 2 2 2 2 3 3" xfId="22570" xr:uid="{00000000-0005-0000-0000-0000C81D0000}"/>
    <cellStyle name="40% - Accent1 2 3 2 2 2 2 4" xfId="6440" xr:uid="{00000000-0005-0000-0000-0000C91D0000}"/>
    <cellStyle name="40% - Accent1 2 3 2 2 2 2 5" xfId="19983" xr:uid="{00000000-0005-0000-0000-0000CA1D0000}"/>
    <cellStyle name="40% - Accent1 2 3 2 2 2 3" xfId="6441" xr:uid="{00000000-0005-0000-0000-0000CB1D0000}"/>
    <cellStyle name="40% - Accent1 2 3 2 2 2 3 2" xfId="6442" xr:uid="{00000000-0005-0000-0000-0000CC1D0000}"/>
    <cellStyle name="40% - Accent1 2 3 2 2 2 3 2 2" xfId="6443" xr:uid="{00000000-0005-0000-0000-0000CD1D0000}"/>
    <cellStyle name="40% - Accent1 2 3 2 2 2 3 2 3" xfId="23215" xr:uid="{00000000-0005-0000-0000-0000CE1D0000}"/>
    <cellStyle name="40% - Accent1 2 3 2 2 2 3 3" xfId="6444" xr:uid="{00000000-0005-0000-0000-0000CF1D0000}"/>
    <cellStyle name="40% - Accent1 2 3 2 2 2 3 4" xfId="20632" xr:uid="{00000000-0005-0000-0000-0000D01D0000}"/>
    <cellStyle name="40% - Accent1 2 3 2 2 2 4" xfId="6445" xr:uid="{00000000-0005-0000-0000-0000D11D0000}"/>
    <cellStyle name="40% - Accent1 2 3 2 2 2 4 2" xfId="6446" xr:uid="{00000000-0005-0000-0000-0000D21D0000}"/>
    <cellStyle name="40% - Accent1 2 3 2 2 2 4 3" xfId="21925" xr:uid="{00000000-0005-0000-0000-0000D31D0000}"/>
    <cellStyle name="40% - Accent1 2 3 2 2 2 5" xfId="6447" xr:uid="{00000000-0005-0000-0000-0000D41D0000}"/>
    <cellStyle name="40% - Accent1 2 3 2 2 2 6" xfId="19335" xr:uid="{00000000-0005-0000-0000-0000D51D0000}"/>
    <cellStyle name="40% - Accent1 2 3 2 2 3" xfId="6448" xr:uid="{00000000-0005-0000-0000-0000D61D0000}"/>
    <cellStyle name="40% - Accent1 2 3 2 2 3 2" xfId="6449" xr:uid="{00000000-0005-0000-0000-0000D71D0000}"/>
    <cellStyle name="40% - Accent1 2 3 2 2 3 2 2" xfId="6450" xr:uid="{00000000-0005-0000-0000-0000D81D0000}"/>
    <cellStyle name="40% - Accent1 2 3 2 2 3 2 2 2" xfId="6451" xr:uid="{00000000-0005-0000-0000-0000D91D0000}"/>
    <cellStyle name="40% - Accent1 2 3 2 2 3 2 2 3" xfId="23538" xr:uid="{00000000-0005-0000-0000-0000DA1D0000}"/>
    <cellStyle name="40% - Accent1 2 3 2 2 3 2 3" xfId="6452" xr:uid="{00000000-0005-0000-0000-0000DB1D0000}"/>
    <cellStyle name="40% - Accent1 2 3 2 2 3 2 4" xfId="20955" xr:uid="{00000000-0005-0000-0000-0000DC1D0000}"/>
    <cellStyle name="40% - Accent1 2 3 2 2 3 3" xfId="6453" xr:uid="{00000000-0005-0000-0000-0000DD1D0000}"/>
    <cellStyle name="40% - Accent1 2 3 2 2 3 3 2" xfId="6454" xr:uid="{00000000-0005-0000-0000-0000DE1D0000}"/>
    <cellStyle name="40% - Accent1 2 3 2 2 3 3 3" xfId="22248" xr:uid="{00000000-0005-0000-0000-0000DF1D0000}"/>
    <cellStyle name="40% - Accent1 2 3 2 2 3 4" xfId="6455" xr:uid="{00000000-0005-0000-0000-0000E01D0000}"/>
    <cellStyle name="40% - Accent1 2 3 2 2 3 5" xfId="19661" xr:uid="{00000000-0005-0000-0000-0000E11D0000}"/>
    <cellStyle name="40% - Accent1 2 3 2 2 4" xfId="6456" xr:uid="{00000000-0005-0000-0000-0000E21D0000}"/>
    <cellStyle name="40% - Accent1 2 3 2 2 4 2" xfId="6457" xr:uid="{00000000-0005-0000-0000-0000E31D0000}"/>
    <cellStyle name="40% - Accent1 2 3 2 2 4 2 2" xfId="6458" xr:uid="{00000000-0005-0000-0000-0000E41D0000}"/>
    <cellStyle name="40% - Accent1 2 3 2 2 4 2 3" xfId="22893" xr:uid="{00000000-0005-0000-0000-0000E51D0000}"/>
    <cellStyle name="40% - Accent1 2 3 2 2 4 3" xfId="6459" xr:uid="{00000000-0005-0000-0000-0000E61D0000}"/>
    <cellStyle name="40% - Accent1 2 3 2 2 4 4" xfId="20310" xr:uid="{00000000-0005-0000-0000-0000E71D0000}"/>
    <cellStyle name="40% - Accent1 2 3 2 2 5" xfId="6460" xr:uid="{00000000-0005-0000-0000-0000E81D0000}"/>
    <cellStyle name="40% - Accent1 2 3 2 2 5 2" xfId="6461" xr:uid="{00000000-0005-0000-0000-0000E91D0000}"/>
    <cellStyle name="40% - Accent1 2 3 2 2 5 3" xfId="21603" xr:uid="{00000000-0005-0000-0000-0000EA1D0000}"/>
    <cellStyle name="40% - Accent1 2 3 2 2 6" xfId="6462" xr:uid="{00000000-0005-0000-0000-0000EB1D0000}"/>
    <cellStyle name="40% - Accent1 2 3 2 2 7" xfId="19009" xr:uid="{00000000-0005-0000-0000-0000EC1D0000}"/>
    <cellStyle name="40% - Accent1 2 3 2 3" xfId="6463" xr:uid="{00000000-0005-0000-0000-0000ED1D0000}"/>
    <cellStyle name="40% - Accent1 2 3 2 3 2" xfId="6464" xr:uid="{00000000-0005-0000-0000-0000EE1D0000}"/>
    <cellStyle name="40% - Accent1 2 3 2 3 2 2" xfId="6465" xr:uid="{00000000-0005-0000-0000-0000EF1D0000}"/>
    <cellStyle name="40% - Accent1 2 3 2 3 2 2 2" xfId="6466" xr:uid="{00000000-0005-0000-0000-0000F01D0000}"/>
    <cellStyle name="40% - Accent1 2 3 2 3 2 2 2 2" xfId="6467" xr:uid="{00000000-0005-0000-0000-0000F11D0000}"/>
    <cellStyle name="40% - Accent1 2 3 2 3 2 2 2 3" xfId="23699" xr:uid="{00000000-0005-0000-0000-0000F21D0000}"/>
    <cellStyle name="40% - Accent1 2 3 2 3 2 2 3" xfId="6468" xr:uid="{00000000-0005-0000-0000-0000F31D0000}"/>
    <cellStyle name="40% - Accent1 2 3 2 3 2 2 4" xfId="21116" xr:uid="{00000000-0005-0000-0000-0000F41D0000}"/>
    <cellStyle name="40% - Accent1 2 3 2 3 2 3" xfId="6469" xr:uid="{00000000-0005-0000-0000-0000F51D0000}"/>
    <cellStyle name="40% - Accent1 2 3 2 3 2 3 2" xfId="6470" xr:uid="{00000000-0005-0000-0000-0000F61D0000}"/>
    <cellStyle name="40% - Accent1 2 3 2 3 2 3 3" xfId="22409" xr:uid="{00000000-0005-0000-0000-0000F71D0000}"/>
    <cellStyle name="40% - Accent1 2 3 2 3 2 4" xfId="6471" xr:uid="{00000000-0005-0000-0000-0000F81D0000}"/>
    <cellStyle name="40% - Accent1 2 3 2 3 2 5" xfId="19822" xr:uid="{00000000-0005-0000-0000-0000F91D0000}"/>
    <cellStyle name="40% - Accent1 2 3 2 3 3" xfId="6472" xr:uid="{00000000-0005-0000-0000-0000FA1D0000}"/>
    <cellStyle name="40% - Accent1 2 3 2 3 3 2" xfId="6473" xr:uid="{00000000-0005-0000-0000-0000FB1D0000}"/>
    <cellStyle name="40% - Accent1 2 3 2 3 3 2 2" xfId="6474" xr:uid="{00000000-0005-0000-0000-0000FC1D0000}"/>
    <cellStyle name="40% - Accent1 2 3 2 3 3 2 3" xfId="23054" xr:uid="{00000000-0005-0000-0000-0000FD1D0000}"/>
    <cellStyle name="40% - Accent1 2 3 2 3 3 3" xfId="6475" xr:uid="{00000000-0005-0000-0000-0000FE1D0000}"/>
    <cellStyle name="40% - Accent1 2 3 2 3 3 4" xfId="20471" xr:uid="{00000000-0005-0000-0000-0000FF1D0000}"/>
    <cellStyle name="40% - Accent1 2 3 2 3 4" xfId="6476" xr:uid="{00000000-0005-0000-0000-0000001E0000}"/>
    <cellStyle name="40% - Accent1 2 3 2 3 4 2" xfId="6477" xr:uid="{00000000-0005-0000-0000-0000011E0000}"/>
    <cellStyle name="40% - Accent1 2 3 2 3 4 3" xfId="21764" xr:uid="{00000000-0005-0000-0000-0000021E0000}"/>
    <cellStyle name="40% - Accent1 2 3 2 3 5" xfId="6478" xr:uid="{00000000-0005-0000-0000-0000031E0000}"/>
    <cellStyle name="40% - Accent1 2 3 2 3 6" xfId="19174" xr:uid="{00000000-0005-0000-0000-0000041E0000}"/>
    <cellStyle name="40% - Accent1 2 3 2 4" xfId="6479" xr:uid="{00000000-0005-0000-0000-0000051E0000}"/>
    <cellStyle name="40% - Accent1 2 3 2 4 2" xfId="6480" xr:uid="{00000000-0005-0000-0000-0000061E0000}"/>
    <cellStyle name="40% - Accent1 2 3 2 4 2 2" xfId="6481" xr:uid="{00000000-0005-0000-0000-0000071E0000}"/>
    <cellStyle name="40% - Accent1 2 3 2 4 2 2 2" xfId="6482" xr:uid="{00000000-0005-0000-0000-0000081E0000}"/>
    <cellStyle name="40% - Accent1 2 3 2 4 2 2 3" xfId="23377" xr:uid="{00000000-0005-0000-0000-0000091E0000}"/>
    <cellStyle name="40% - Accent1 2 3 2 4 2 3" xfId="6483" xr:uid="{00000000-0005-0000-0000-00000A1E0000}"/>
    <cellStyle name="40% - Accent1 2 3 2 4 2 4" xfId="20794" xr:uid="{00000000-0005-0000-0000-00000B1E0000}"/>
    <cellStyle name="40% - Accent1 2 3 2 4 3" xfId="6484" xr:uid="{00000000-0005-0000-0000-00000C1E0000}"/>
    <cellStyle name="40% - Accent1 2 3 2 4 3 2" xfId="6485" xr:uid="{00000000-0005-0000-0000-00000D1E0000}"/>
    <cellStyle name="40% - Accent1 2 3 2 4 3 3" xfId="22087" xr:uid="{00000000-0005-0000-0000-00000E1E0000}"/>
    <cellStyle name="40% - Accent1 2 3 2 4 4" xfId="6486" xr:uid="{00000000-0005-0000-0000-00000F1E0000}"/>
    <cellStyle name="40% - Accent1 2 3 2 4 5" xfId="19500" xr:uid="{00000000-0005-0000-0000-0000101E0000}"/>
    <cellStyle name="40% - Accent1 2 3 2 5" xfId="6487" xr:uid="{00000000-0005-0000-0000-0000111E0000}"/>
    <cellStyle name="40% - Accent1 2 3 2 5 2" xfId="6488" xr:uid="{00000000-0005-0000-0000-0000121E0000}"/>
    <cellStyle name="40% - Accent1 2 3 2 5 2 2" xfId="6489" xr:uid="{00000000-0005-0000-0000-0000131E0000}"/>
    <cellStyle name="40% - Accent1 2 3 2 5 2 3" xfId="22732" xr:uid="{00000000-0005-0000-0000-0000141E0000}"/>
    <cellStyle name="40% - Accent1 2 3 2 5 3" xfId="6490" xr:uid="{00000000-0005-0000-0000-0000151E0000}"/>
    <cellStyle name="40% - Accent1 2 3 2 5 4" xfId="20149" xr:uid="{00000000-0005-0000-0000-0000161E0000}"/>
    <cellStyle name="40% - Accent1 2 3 2 6" xfId="6491" xr:uid="{00000000-0005-0000-0000-0000171E0000}"/>
    <cellStyle name="40% - Accent1 2 3 2 6 2" xfId="6492" xr:uid="{00000000-0005-0000-0000-0000181E0000}"/>
    <cellStyle name="40% - Accent1 2 3 2 6 3" xfId="21442" xr:uid="{00000000-0005-0000-0000-0000191E0000}"/>
    <cellStyle name="40% - Accent1 2 3 2 7" xfId="6493" xr:uid="{00000000-0005-0000-0000-00001A1E0000}"/>
    <cellStyle name="40% - Accent1 2 3 2 8" xfId="18844" xr:uid="{00000000-0005-0000-0000-00001B1E0000}"/>
    <cellStyle name="40% - Accent1 2 3 3" xfId="6494" xr:uid="{00000000-0005-0000-0000-00001C1E0000}"/>
    <cellStyle name="40% - Accent1 2 3 3 2" xfId="6495" xr:uid="{00000000-0005-0000-0000-00001D1E0000}"/>
    <cellStyle name="40% - Accent1 2 3 3 2 2" xfId="6496" xr:uid="{00000000-0005-0000-0000-00001E1E0000}"/>
    <cellStyle name="40% - Accent1 2 3 3 2 2 2" xfId="6497" xr:uid="{00000000-0005-0000-0000-00001F1E0000}"/>
    <cellStyle name="40% - Accent1 2 3 3 2 2 2 2" xfId="6498" xr:uid="{00000000-0005-0000-0000-0000201E0000}"/>
    <cellStyle name="40% - Accent1 2 3 3 2 2 2 2 2" xfId="6499" xr:uid="{00000000-0005-0000-0000-0000211E0000}"/>
    <cellStyle name="40% - Accent1 2 3 3 2 2 2 2 3" xfId="23780" xr:uid="{00000000-0005-0000-0000-0000221E0000}"/>
    <cellStyle name="40% - Accent1 2 3 3 2 2 2 3" xfId="6500" xr:uid="{00000000-0005-0000-0000-0000231E0000}"/>
    <cellStyle name="40% - Accent1 2 3 3 2 2 2 4" xfId="21197" xr:uid="{00000000-0005-0000-0000-0000241E0000}"/>
    <cellStyle name="40% - Accent1 2 3 3 2 2 3" xfId="6501" xr:uid="{00000000-0005-0000-0000-0000251E0000}"/>
    <cellStyle name="40% - Accent1 2 3 3 2 2 3 2" xfId="6502" xr:uid="{00000000-0005-0000-0000-0000261E0000}"/>
    <cellStyle name="40% - Accent1 2 3 3 2 2 3 3" xfId="22490" xr:uid="{00000000-0005-0000-0000-0000271E0000}"/>
    <cellStyle name="40% - Accent1 2 3 3 2 2 4" xfId="6503" xr:uid="{00000000-0005-0000-0000-0000281E0000}"/>
    <cellStyle name="40% - Accent1 2 3 3 2 2 5" xfId="19903" xr:uid="{00000000-0005-0000-0000-0000291E0000}"/>
    <cellStyle name="40% - Accent1 2 3 3 2 3" xfId="6504" xr:uid="{00000000-0005-0000-0000-00002A1E0000}"/>
    <cellStyle name="40% - Accent1 2 3 3 2 3 2" xfId="6505" xr:uid="{00000000-0005-0000-0000-00002B1E0000}"/>
    <cellStyle name="40% - Accent1 2 3 3 2 3 2 2" xfId="6506" xr:uid="{00000000-0005-0000-0000-00002C1E0000}"/>
    <cellStyle name="40% - Accent1 2 3 3 2 3 2 3" xfId="23135" xr:uid="{00000000-0005-0000-0000-00002D1E0000}"/>
    <cellStyle name="40% - Accent1 2 3 3 2 3 3" xfId="6507" xr:uid="{00000000-0005-0000-0000-00002E1E0000}"/>
    <cellStyle name="40% - Accent1 2 3 3 2 3 4" xfId="20552" xr:uid="{00000000-0005-0000-0000-00002F1E0000}"/>
    <cellStyle name="40% - Accent1 2 3 3 2 4" xfId="6508" xr:uid="{00000000-0005-0000-0000-0000301E0000}"/>
    <cellStyle name="40% - Accent1 2 3 3 2 4 2" xfId="6509" xr:uid="{00000000-0005-0000-0000-0000311E0000}"/>
    <cellStyle name="40% - Accent1 2 3 3 2 4 3" xfId="21845" xr:uid="{00000000-0005-0000-0000-0000321E0000}"/>
    <cellStyle name="40% - Accent1 2 3 3 2 5" xfId="6510" xr:uid="{00000000-0005-0000-0000-0000331E0000}"/>
    <cellStyle name="40% - Accent1 2 3 3 2 6" xfId="19255" xr:uid="{00000000-0005-0000-0000-0000341E0000}"/>
    <cellStyle name="40% - Accent1 2 3 3 3" xfId="6511" xr:uid="{00000000-0005-0000-0000-0000351E0000}"/>
    <cellStyle name="40% - Accent1 2 3 3 3 2" xfId="6512" xr:uid="{00000000-0005-0000-0000-0000361E0000}"/>
    <cellStyle name="40% - Accent1 2 3 3 3 2 2" xfId="6513" xr:uid="{00000000-0005-0000-0000-0000371E0000}"/>
    <cellStyle name="40% - Accent1 2 3 3 3 2 2 2" xfId="6514" xr:uid="{00000000-0005-0000-0000-0000381E0000}"/>
    <cellStyle name="40% - Accent1 2 3 3 3 2 2 3" xfId="23458" xr:uid="{00000000-0005-0000-0000-0000391E0000}"/>
    <cellStyle name="40% - Accent1 2 3 3 3 2 3" xfId="6515" xr:uid="{00000000-0005-0000-0000-00003A1E0000}"/>
    <cellStyle name="40% - Accent1 2 3 3 3 2 4" xfId="20875" xr:uid="{00000000-0005-0000-0000-00003B1E0000}"/>
    <cellStyle name="40% - Accent1 2 3 3 3 3" xfId="6516" xr:uid="{00000000-0005-0000-0000-00003C1E0000}"/>
    <cellStyle name="40% - Accent1 2 3 3 3 3 2" xfId="6517" xr:uid="{00000000-0005-0000-0000-00003D1E0000}"/>
    <cellStyle name="40% - Accent1 2 3 3 3 3 3" xfId="22168" xr:uid="{00000000-0005-0000-0000-00003E1E0000}"/>
    <cellStyle name="40% - Accent1 2 3 3 3 4" xfId="6518" xr:uid="{00000000-0005-0000-0000-00003F1E0000}"/>
    <cellStyle name="40% - Accent1 2 3 3 3 5" xfId="19581" xr:uid="{00000000-0005-0000-0000-0000401E0000}"/>
    <cellStyle name="40% - Accent1 2 3 3 4" xfId="6519" xr:uid="{00000000-0005-0000-0000-0000411E0000}"/>
    <cellStyle name="40% - Accent1 2 3 3 4 2" xfId="6520" xr:uid="{00000000-0005-0000-0000-0000421E0000}"/>
    <cellStyle name="40% - Accent1 2 3 3 4 2 2" xfId="6521" xr:uid="{00000000-0005-0000-0000-0000431E0000}"/>
    <cellStyle name="40% - Accent1 2 3 3 4 2 3" xfId="22813" xr:uid="{00000000-0005-0000-0000-0000441E0000}"/>
    <cellStyle name="40% - Accent1 2 3 3 4 3" xfId="6522" xr:uid="{00000000-0005-0000-0000-0000451E0000}"/>
    <cellStyle name="40% - Accent1 2 3 3 4 4" xfId="20230" xr:uid="{00000000-0005-0000-0000-0000461E0000}"/>
    <cellStyle name="40% - Accent1 2 3 3 5" xfId="6523" xr:uid="{00000000-0005-0000-0000-0000471E0000}"/>
    <cellStyle name="40% - Accent1 2 3 3 5 2" xfId="6524" xr:uid="{00000000-0005-0000-0000-0000481E0000}"/>
    <cellStyle name="40% - Accent1 2 3 3 5 3" xfId="21523" xr:uid="{00000000-0005-0000-0000-0000491E0000}"/>
    <cellStyle name="40% - Accent1 2 3 3 6" xfId="6525" xr:uid="{00000000-0005-0000-0000-00004A1E0000}"/>
    <cellStyle name="40% - Accent1 2 3 3 7" xfId="18929" xr:uid="{00000000-0005-0000-0000-00004B1E0000}"/>
    <cellStyle name="40% - Accent1 2 3 4" xfId="6526" xr:uid="{00000000-0005-0000-0000-00004C1E0000}"/>
    <cellStyle name="40% - Accent1 2 3 4 2" xfId="6527" xr:uid="{00000000-0005-0000-0000-00004D1E0000}"/>
    <cellStyle name="40% - Accent1 2 3 4 2 2" xfId="6528" xr:uid="{00000000-0005-0000-0000-00004E1E0000}"/>
    <cellStyle name="40% - Accent1 2 3 4 2 2 2" xfId="6529" xr:uid="{00000000-0005-0000-0000-00004F1E0000}"/>
    <cellStyle name="40% - Accent1 2 3 4 2 2 2 2" xfId="6530" xr:uid="{00000000-0005-0000-0000-0000501E0000}"/>
    <cellStyle name="40% - Accent1 2 3 4 2 2 2 3" xfId="23619" xr:uid="{00000000-0005-0000-0000-0000511E0000}"/>
    <cellStyle name="40% - Accent1 2 3 4 2 2 3" xfId="6531" xr:uid="{00000000-0005-0000-0000-0000521E0000}"/>
    <cellStyle name="40% - Accent1 2 3 4 2 2 4" xfId="21036" xr:uid="{00000000-0005-0000-0000-0000531E0000}"/>
    <cellStyle name="40% - Accent1 2 3 4 2 3" xfId="6532" xr:uid="{00000000-0005-0000-0000-0000541E0000}"/>
    <cellStyle name="40% - Accent1 2 3 4 2 3 2" xfId="6533" xr:uid="{00000000-0005-0000-0000-0000551E0000}"/>
    <cellStyle name="40% - Accent1 2 3 4 2 3 3" xfId="22329" xr:uid="{00000000-0005-0000-0000-0000561E0000}"/>
    <cellStyle name="40% - Accent1 2 3 4 2 4" xfId="6534" xr:uid="{00000000-0005-0000-0000-0000571E0000}"/>
    <cellStyle name="40% - Accent1 2 3 4 2 5" xfId="19742" xr:uid="{00000000-0005-0000-0000-0000581E0000}"/>
    <cellStyle name="40% - Accent1 2 3 4 3" xfId="6535" xr:uid="{00000000-0005-0000-0000-0000591E0000}"/>
    <cellStyle name="40% - Accent1 2 3 4 3 2" xfId="6536" xr:uid="{00000000-0005-0000-0000-00005A1E0000}"/>
    <cellStyle name="40% - Accent1 2 3 4 3 2 2" xfId="6537" xr:uid="{00000000-0005-0000-0000-00005B1E0000}"/>
    <cellStyle name="40% - Accent1 2 3 4 3 2 3" xfId="22974" xr:uid="{00000000-0005-0000-0000-00005C1E0000}"/>
    <cellStyle name="40% - Accent1 2 3 4 3 3" xfId="6538" xr:uid="{00000000-0005-0000-0000-00005D1E0000}"/>
    <cellStyle name="40% - Accent1 2 3 4 3 4" xfId="20391" xr:uid="{00000000-0005-0000-0000-00005E1E0000}"/>
    <cellStyle name="40% - Accent1 2 3 4 4" xfId="6539" xr:uid="{00000000-0005-0000-0000-00005F1E0000}"/>
    <cellStyle name="40% - Accent1 2 3 4 4 2" xfId="6540" xr:uid="{00000000-0005-0000-0000-0000601E0000}"/>
    <cellStyle name="40% - Accent1 2 3 4 4 3" xfId="21684" xr:uid="{00000000-0005-0000-0000-0000611E0000}"/>
    <cellStyle name="40% - Accent1 2 3 4 5" xfId="6541" xr:uid="{00000000-0005-0000-0000-0000621E0000}"/>
    <cellStyle name="40% - Accent1 2 3 4 6" xfId="19094" xr:uid="{00000000-0005-0000-0000-0000631E0000}"/>
    <cellStyle name="40% - Accent1 2 3 5" xfId="6542" xr:uid="{00000000-0005-0000-0000-0000641E0000}"/>
    <cellStyle name="40% - Accent1 2 3 5 2" xfId="6543" xr:uid="{00000000-0005-0000-0000-0000651E0000}"/>
    <cellStyle name="40% - Accent1 2 3 5 2 2" xfId="6544" xr:uid="{00000000-0005-0000-0000-0000661E0000}"/>
    <cellStyle name="40% - Accent1 2 3 5 2 2 2" xfId="6545" xr:uid="{00000000-0005-0000-0000-0000671E0000}"/>
    <cellStyle name="40% - Accent1 2 3 5 2 2 3" xfId="23296" xr:uid="{00000000-0005-0000-0000-0000681E0000}"/>
    <cellStyle name="40% - Accent1 2 3 5 2 3" xfId="6546" xr:uid="{00000000-0005-0000-0000-0000691E0000}"/>
    <cellStyle name="40% - Accent1 2 3 5 2 4" xfId="20713" xr:uid="{00000000-0005-0000-0000-00006A1E0000}"/>
    <cellStyle name="40% - Accent1 2 3 5 3" xfId="6547" xr:uid="{00000000-0005-0000-0000-00006B1E0000}"/>
    <cellStyle name="40% - Accent1 2 3 5 3 2" xfId="6548" xr:uid="{00000000-0005-0000-0000-00006C1E0000}"/>
    <cellStyle name="40% - Accent1 2 3 5 3 3" xfId="22006" xr:uid="{00000000-0005-0000-0000-00006D1E0000}"/>
    <cellStyle name="40% - Accent1 2 3 5 4" xfId="6549" xr:uid="{00000000-0005-0000-0000-00006E1E0000}"/>
    <cellStyle name="40% - Accent1 2 3 5 5" xfId="19420" xr:uid="{00000000-0005-0000-0000-00006F1E0000}"/>
    <cellStyle name="40% - Accent1 2 3 6" xfId="6550" xr:uid="{00000000-0005-0000-0000-0000701E0000}"/>
    <cellStyle name="40% - Accent1 2 3 6 2" xfId="6551" xr:uid="{00000000-0005-0000-0000-0000711E0000}"/>
    <cellStyle name="40% - Accent1 2 3 6 2 2" xfId="6552" xr:uid="{00000000-0005-0000-0000-0000721E0000}"/>
    <cellStyle name="40% - Accent1 2 3 6 2 3" xfId="22651" xr:uid="{00000000-0005-0000-0000-0000731E0000}"/>
    <cellStyle name="40% - Accent1 2 3 6 3" xfId="6553" xr:uid="{00000000-0005-0000-0000-0000741E0000}"/>
    <cellStyle name="40% - Accent1 2 3 6 4" xfId="20068" xr:uid="{00000000-0005-0000-0000-0000751E0000}"/>
    <cellStyle name="40% - Accent1 2 3 7" xfId="6554" xr:uid="{00000000-0005-0000-0000-0000761E0000}"/>
    <cellStyle name="40% - Accent1 2 3 7 2" xfId="6555" xr:uid="{00000000-0005-0000-0000-0000771E0000}"/>
    <cellStyle name="40% - Accent1 2 3 7 3" xfId="21361" xr:uid="{00000000-0005-0000-0000-0000781E0000}"/>
    <cellStyle name="40% - Accent1 2 3 8" xfId="6556" xr:uid="{00000000-0005-0000-0000-0000791E0000}"/>
    <cellStyle name="40% - Accent1 2 3 9" xfId="18747" xr:uid="{00000000-0005-0000-0000-00007A1E0000}"/>
    <cellStyle name="40% - Accent1 2 4" xfId="6557" xr:uid="{00000000-0005-0000-0000-00007B1E0000}"/>
    <cellStyle name="40% - Accent1 2 4 2" xfId="6558" xr:uid="{00000000-0005-0000-0000-00007C1E0000}"/>
    <cellStyle name="40% - Accent1 2 4 2 2" xfId="6559" xr:uid="{00000000-0005-0000-0000-00007D1E0000}"/>
    <cellStyle name="40% - Accent1 2 4 2 2 2" xfId="6560" xr:uid="{00000000-0005-0000-0000-00007E1E0000}"/>
    <cellStyle name="40% - Accent1 2 4 2 2 2 2" xfId="6561" xr:uid="{00000000-0005-0000-0000-00007F1E0000}"/>
    <cellStyle name="40% - Accent1 2 4 2 2 2 2 2" xfId="6562" xr:uid="{00000000-0005-0000-0000-0000801E0000}"/>
    <cellStyle name="40% - Accent1 2 4 2 2 2 2 2 2" xfId="6563" xr:uid="{00000000-0005-0000-0000-0000811E0000}"/>
    <cellStyle name="40% - Accent1 2 4 2 2 2 2 2 3" xfId="23820" xr:uid="{00000000-0005-0000-0000-0000821E0000}"/>
    <cellStyle name="40% - Accent1 2 4 2 2 2 2 3" xfId="6564" xr:uid="{00000000-0005-0000-0000-0000831E0000}"/>
    <cellStyle name="40% - Accent1 2 4 2 2 2 2 4" xfId="21237" xr:uid="{00000000-0005-0000-0000-0000841E0000}"/>
    <cellStyle name="40% - Accent1 2 4 2 2 2 3" xfId="6565" xr:uid="{00000000-0005-0000-0000-0000851E0000}"/>
    <cellStyle name="40% - Accent1 2 4 2 2 2 3 2" xfId="6566" xr:uid="{00000000-0005-0000-0000-0000861E0000}"/>
    <cellStyle name="40% - Accent1 2 4 2 2 2 3 3" xfId="22530" xr:uid="{00000000-0005-0000-0000-0000871E0000}"/>
    <cellStyle name="40% - Accent1 2 4 2 2 2 4" xfId="6567" xr:uid="{00000000-0005-0000-0000-0000881E0000}"/>
    <cellStyle name="40% - Accent1 2 4 2 2 2 5" xfId="19943" xr:uid="{00000000-0005-0000-0000-0000891E0000}"/>
    <cellStyle name="40% - Accent1 2 4 2 2 3" xfId="6568" xr:uid="{00000000-0005-0000-0000-00008A1E0000}"/>
    <cellStyle name="40% - Accent1 2 4 2 2 3 2" xfId="6569" xr:uid="{00000000-0005-0000-0000-00008B1E0000}"/>
    <cellStyle name="40% - Accent1 2 4 2 2 3 2 2" xfId="6570" xr:uid="{00000000-0005-0000-0000-00008C1E0000}"/>
    <cellStyle name="40% - Accent1 2 4 2 2 3 2 3" xfId="23175" xr:uid="{00000000-0005-0000-0000-00008D1E0000}"/>
    <cellStyle name="40% - Accent1 2 4 2 2 3 3" xfId="6571" xr:uid="{00000000-0005-0000-0000-00008E1E0000}"/>
    <cellStyle name="40% - Accent1 2 4 2 2 3 4" xfId="20592" xr:uid="{00000000-0005-0000-0000-00008F1E0000}"/>
    <cellStyle name="40% - Accent1 2 4 2 2 4" xfId="6572" xr:uid="{00000000-0005-0000-0000-0000901E0000}"/>
    <cellStyle name="40% - Accent1 2 4 2 2 4 2" xfId="6573" xr:uid="{00000000-0005-0000-0000-0000911E0000}"/>
    <cellStyle name="40% - Accent1 2 4 2 2 4 3" xfId="21885" xr:uid="{00000000-0005-0000-0000-0000921E0000}"/>
    <cellStyle name="40% - Accent1 2 4 2 2 5" xfId="6574" xr:uid="{00000000-0005-0000-0000-0000931E0000}"/>
    <cellStyle name="40% - Accent1 2 4 2 2 6" xfId="19295" xr:uid="{00000000-0005-0000-0000-0000941E0000}"/>
    <cellStyle name="40% - Accent1 2 4 2 3" xfId="6575" xr:uid="{00000000-0005-0000-0000-0000951E0000}"/>
    <cellStyle name="40% - Accent1 2 4 2 3 2" xfId="6576" xr:uid="{00000000-0005-0000-0000-0000961E0000}"/>
    <cellStyle name="40% - Accent1 2 4 2 3 2 2" xfId="6577" xr:uid="{00000000-0005-0000-0000-0000971E0000}"/>
    <cellStyle name="40% - Accent1 2 4 2 3 2 2 2" xfId="6578" xr:uid="{00000000-0005-0000-0000-0000981E0000}"/>
    <cellStyle name="40% - Accent1 2 4 2 3 2 2 3" xfId="23498" xr:uid="{00000000-0005-0000-0000-0000991E0000}"/>
    <cellStyle name="40% - Accent1 2 4 2 3 2 3" xfId="6579" xr:uid="{00000000-0005-0000-0000-00009A1E0000}"/>
    <cellStyle name="40% - Accent1 2 4 2 3 2 4" xfId="20915" xr:uid="{00000000-0005-0000-0000-00009B1E0000}"/>
    <cellStyle name="40% - Accent1 2 4 2 3 3" xfId="6580" xr:uid="{00000000-0005-0000-0000-00009C1E0000}"/>
    <cellStyle name="40% - Accent1 2 4 2 3 3 2" xfId="6581" xr:uid="{00000000-0005-0000-0000-00009D1E0000}"/>
    <cellStyle name="40% - Accent1 2 4 2 3 3 3" xfId="22208" xr:uid="{00000000-0005-0000-0000-00009E1E0000}"/>
    <cellStyle name="40% - Accent1 2 4 2 3 4" xfId="6582" xr:uid="{00000000-0005-0000-0000-00009F1E0000}"/>
    <cellStyle name="40% - Accent1 2 4 2 3 5" xfId="19621" xr:uid="{00000000-0005-0000-0000-0000A01E0000}"/>
    <cellStyle name="40% - Accent1 2 4 2 4" xfId="6583" xr:uid="{00000000-0005-0000-0000-0000A11E0000}"/>
    <cellStyle name="40% - Accent1 2 4 2 4 2" xfId="6584" xr:uid="{00000000-0005-0000-0000-0000A21E0000}"/>
    <cellStyle name="40% - Accent1 2 4 2 4 2 2" xfId="6585" xr:uid="{00000000-0005-0000-0000-0000A31E0000}"/>
    <cellStyle name="40% - Accent1 2 4 2 4 2 3" xfId="22853" xr:uid="{00000000-0005-0000-0000-0000A41E0000}"/>
    <cellStyle name="40% - Accent1 2 4 2 4 3" xfId="6586" xr:uid="{00000000-0005-0000-0000-0000A51E0000}"/>
    <cellStyle name="40% - Accent1 2 4 2 4 4" xfId="20270" xr:uid="{00000000-0005-0000-0000-0000A61E0000}"/>
    <cellStyle name="40% - Accent1 2 4 2 5" xfId="6587" xr:uid="{00000000-0005-0000-0000-0000A71E0000}"/>
    <cellStyle name="40% - Accent1 2 4 2 5 2" xfId="6588" xr:uid="{00000000-0005-0000-0000-0000A81E0000}"/>
    <cellStyle name="40% - Accent1 2 4 2 5 3" xfId="21563" xr:uid="{00000000-0005-0000-0000-0000A91E0000}"/>
    <cellStyle name="40% - Accent1 2 4 2 6" xfId="6589" xr:uid="{00000000-0005-0000-0000-0000AA1E0000}"/>
    <cellStyle name="40% - Accent1 2 4 2 7" xfId="18969" xr:uid="{00000000-0005-0000-0000-0000AB1E0000}"/>
    <cellStyle name="40% - Accent1 2 4 3" xfId="6590" xr:uid="{00000000-0005-0000-0000-0000AC1E0000}"/>
    <cellStyle name="40% - Accent1 2 4 3 2" xfId="6591" xr:uid="{00000000-0005-0000-0000-0000AD1E0000}"/>
    <cellStyle name="40% - Accent1 2 4 3 2 2" xfId="6592" xr:uid="{00000000-0005-0000-0000-0000AE1E0000}"/>
    <cellStyle name="40% - Accent1 2 4 3 2 2 2" xfId="6593" xr:uid="{00000000-0005-0000-0000-0000AF1E0000}"/>
    <cellStyle name="40% - Accent1 2 4 3 2 2 2 2" xfId="6594" xr:uid="{00000000-0005-0000-0000-0000B01E0000}"/>
    <cellStyle name="40% - Accent1 2 4 3 2 2 2 3" xfId="23659" xr:uid="{00000000-0005-0000-0000-0000B11E0000}"/>
    <cellStyle name="40% - Accent1 2 4 3 2 2 3" xfId="6595" xr:uid="{00000000-0005-0000-0000-0000B21E0000}"/>
    <cellStyle name="40% - Accent1 2 4 3 2 2 4" xfId="21076" xr:uid="{00000000-0005-0000-0000-0000B31E0000}"/>
    <cellStyle name="40% - Accent1 2 4 3 2 3" xfId="6596" xr:uid="{00000000-0005-0000-0000-0000B41E0000}"/>
    <cellStyle name="40% - Accent1 2 4 3 2 3 2" xfId="6597" xr:uid="{00000000-0005-0000-0000-0000B51E0000}"/>
    <cellStyle name="40% - Accent1 2 4 3 2 3 3" xfId="22369" xr:uid="{00000000-0005-0000-0000-0000B61E0000}"/>
    <cellStyle name="40% - Accent1 2 4 3 2 4" xfId="6598" xr:uid="{00000000-0005-0000-0000-0000B71E0000}"/>
    <cellStyle name="40% - Accent1 2 4 3 2 5" xfId="19782" xr:uid="{00000000-0005-0000-0000-0000B81E0000}"/>
    <cellStyle name="40% - Accent1 2 4 3 3" xfId="6599" xr:uid="{00000000-0005-0000-0000-0000B91E0000}"/>
    <cellStyle name="40% - Accent1 2 4 3 3 2" xfId="6600" xr:uid="{00000000-0005-0000-0000-0000BA1E0000}"/>
    <cellStyle name="40% - Accent1 2 4 3 3 2 2" xfId="6601" xr:uid="{00000000-0005-0000-0000-0000BB1E0000}"/>
    <cellStyle name="40% - Accent1 2 4 3 3 2 3" xfId="23014" xr:uid="{00000000-0005-0000-0000-0000BC1E0000}"/>
    <cellStyle name="40% - Accent1 2 4 3 3 3" xfId="6602" xr:uid="{00000000-0005-0000-0000-0000BD1E0000}"/>
    <cellStyle name="40% - Accent1 2 4 3 3 4" xfId="20431" xr:uid="{00000000-0005-0000-0000-0000BE1E0000}"/>
    <cellStyle name="40% - Accent1 2 4 3 4" xfId="6603" xr:uid="{00000000-0005-0000-0000-0000BF1E0000}"/>
    <cellStyle name="40% - Accent1 2 4 3 4 2" xfId="6604" xr:uid="{00000000-0005-0000-0000-0000C01E0000}"/>
    <cellStyle name="40% - Accent1 2 4 3 4 3" xfId="21724" xr:uid="{00000000-0005-0000-0000-0000C11E0000}"/>
    <cellStyle name="40% - Accent1 2 4 3 5" xfId="6605" xr:uid="{00000000-0005-0000-0000-0000C21E0000}"/>
    <cellStyle name="40% - Accent1 2 4 3 6" xfId="19134" xr:uid="{00000000-0005-0000-0000-0000C31E0000}"/>
    <cellStyle name="40% - Accent1 2 4 4" xfId="6606" xr:uid="{00000000-0005-0000-0000-0000C41E0000}"/>
    <cellStyle name="40% - Accent1 2 4 4 2" xfId="6607" xr:uid="{00000000-0005-0000-0000-0000C51E0000}"/>
    <cellStyle name="40% - Accent1 2 4 4 2 2" xfId="6608" xr:uid="{00000000-0005-0000-0000-0000C61E0000}"/>
    <cellStyle name="40% - Accent1 2 4 4 2 2 2" xfId="6609" xr:uid="{00000000-0005-0000-0000-0000C71E0000}"/>
    <cellStyle name="40% - Accent1 2 4 4 2 2 3" xfId="23337" xr:uid="{00000000-0005-0000-0000-0000C81E0000}"/>
    <cellStyle name="40% - Accent1 2 4 4 2 3" xfId="6610" xr:uid="{00000000-0005-0000-0000-0000C91E0000}"/>
    <cellStyle name="40% - Accent1 2 4 4 2 4" xfId="20754" xr:uid="{00000000-0005-0000-0000-0000CA1E0000}"/>
    <cellStyle name="40% - Accent1 2 4 4 3" xfId="6611" xr:uid="{00000000-0005-0000-0000-0000CB1E0000}"/>
    <cellStyle name="40% - Accent1 2 4 4 3 2" xfId="6612" xr:uid="{00000000-0005-0000-0000-0000CC1E0000}"/>
    <cellStyle name="40% - Accent1 2 4 4 3 3" xfId="22047" xr:uid="{00000000-0005-0000-0000-0000CD1E0000}"/>
    <cellStyle name="40% - Accent1 2 4 4 4" xfId="6613" xr:uid="{00000000-0005-0000-0000-0000CE1E0000}"/>
    <cellStyle name="40% - Accent1 2 4 4 5" xfId="19460" xr:uid="{00000000-0005-0000-0000-0000CF1E0000}"/>
    <cellStyle name="40% - Accent1 2 4 5" xfId="6614" xr:uid="{00000000-0005-0000-0000-0000D01E0000}"/>
    <cellStyle name="40% - Accent1 2 4 5 2" xfId="6615" xr:uid="{00000000-0005-0000-0000-0000D11E0000}"/>
    <cellStyle name="40% - Accent1 2 4 5 2 2" xfId="6616" xr:uid="{00000000-0005-0000-0000-0000D21E0000}"/>
    <cellStyle name="40% - Accent1 2 4 5 2 3" xfId="22692" xr:uid="{00000000-0005-0000-0000-0000D31E0000}"/>
    <cellStyle name="40% - Accent1 2 4 5 3" xfId="6617" xr:uid="{00000000-0005-0000-0000-0000D41E0000}"/>
    <cellStyle name="40% - Accent1 2 4 5 4" xfId="20109" xr:uid="{00000000-0005-0000-0000-0000D51E0000}"/>
    <cellStyle name="40% - Accent1 2 4 6" xfId="6618" xr:uid="{00000000-0005-0000-0000-0000D61E0000}"/>
    <cellStyle name="40% - Accent1 2 4 6 2" xfId="6619" xr:uid="{00000000-0005-0000-0000-0000D71E0000}"/>
    <cellStyle name="40% - Accent1 2 4 6 3" xfId="21402" xr:uid="{00000000-0005-0000-0000-0000D81E0000}"/>
    <cellStyle name="40% - Accent1 2 4 7" xfId="6620" xr:uid="{00000000-0005-0000-0000-0000D91E0000}"/>
    <cellStyle name="40% - Accent1 2 4 8" xfId="18801" xr:uid="{00000000-0005-0000-0000-0000DA1E0000}"/>
    <cellStyle name="40% - Accent1 2 5" xfId="6621" xr:uid="{00000000-0005-0000-0000-0000DB1E0000}"/>
    <cellStyle name="40% - Accent1 2 5 2" xfId="6622" xr:uid="{00000000-0005-0000-0000-0000DC1E0000}"/>
    <cellStyle name="40% - Accent1 2 5 2 2" xfId="6623" xr:uid="{00000000-0005-0000-0000-0000DD1E0000}"/>
    <cellStyle name="40% - Accent1 2 5 2 2 2" xfId="6624" xr:uid="{00000000-0005-0000-0000-0000DE1E0000}"/>
    <cellStyle name="40% - Accent1 2 5 2 2 2 2" xfId="6625" xr:uid="{00000000-0005-0000-0000-0000DF1E0000}"/>
    <cellStyle name="40% - Accent1 2 5 2 2 2 2 2" xfId="6626" xr:uid="{00000000-0005-0000-0000-0000E01E0000}"/>
    <cellStyle name="40% - Accent1 2 5 2 2 2 2 3" xfId="23740" xr:uid="{00000000-0005-0000-0000-0000E11E0000}"/>
    <cellStyle name="40% - Accent1 2 5 2 2 2 3" xfId="6627" xr:uid="{00000000-0005-0000-0000-0000E21E0000}"/>
    <cellStyle name="40% - Accent1 2 5 2 2 2 4" xfId="21157" xr:uid="{00000000-0005-0000-0000-0000E31E0000}"/>
    <cellStyle name="40% - Accent1 2 5 2 2 3" xfId="6628" xr:uid="{00000000-0005-0000-0000-0000E41E0000}"/>
    <cellStyle name="40% - Accent1 2 5 2 2 3 2" xfId="6629" xr:uid="{00000000-0005-0000-0000-0000E51E0000}"/>
    <cellStyle name="40% - Accent1 2 5 2 2 3 3" xfId="22450" xr:uid="{00000000-0005-0000-0000-0000E61E0000}"/>
    <cellStyle name="40% - Accent1 2 5 2 2 4" xfId="6630" xr:uid="{00000000-0005-0000-0000-0000E71E0000}"/>
    <cellStyle name="40% - Accent1 2 5 2 2 5" xfId="19863" xr:uid="{00000000-0005-0000-0000-0000E81E0000}"/>
    <cellStyle name="40% - Accent1 2 5 2 3" xfId="6631" xr:uid="{00000000-0005-0000-0000-0000E91E0000}"/>
    <cellStyle name="40% - Accent1 2 5 2 3 2" xfId="6632" xr:uid="{00000000-0005-0000-0000-0000EA1E0000}"/>
    <cellStyle name="40% - Accent1 2 5 2 3 2 2" xfId="6633" xr:uid="{00000000-0005-0000-0000-0000EB1E0000}"/>
    <cellStyle name="40% - Accent1 2 5 2 3 2 3" xfId="23095" xr:uid="{00000000-0005-0000-0000-0000EC1E0000}"/>
    <cellStyle name="40% - Accent1 2 5 2 3 3" xfId="6634" xr:uid="{00000000-0005-0000-0000-0000ED1E0000}"/>
    <cellStyle name="40% - Accent1 2 5 2 3 4" xfId="20512" xr:uid="{00000000-0005-0000-0000-0000EE1E0000}"/>
    <cellStyle name="40% - Accent1 2 5 2 4" xfId="6635" xr:uid="{00000000-0005-0000-0000-0000EF1E0000}"/>
    <cellStyle name="40% - Accent1 2 5 2 4 2" xfId="6636" xr:uid="{00000000-0005-0000-0000-0000F01E0000}"/>
    <cellStyle name="40% - Accent1 2 5 2 4 3" xfId="21805" xr:uid="{00000000-0005-0000-0000-0000F11E0000}"/>
    <cellStyle name="40% - Accent1 2 5 2 5" xfId="6637" xr:uid="{00000000-0005-0000-0000-0000F21E0000}"/>
    <cellStyle name="40% - Accent1 2 5 2 6" xfId="19215" xr:uid="{00000000-0005-0000-0000-0000F31E0000}"/>
    <cellStyle name="40% - Accent1 2 5 3" xfId="6638" xr:uid="{00000000-0005-0000-0000-0000F41E0000}"/>
    <cellStyle name="40% - Accent1 2 5 3 2" xfId="6639" xr:uid="{00000000-0005-0000-0000-0000F51E0000}"/>
    <cellStyle name="40% - Accent1 2 5 3 2 2" xfId="6640" xr:uid="{00000000-0005-0000-0000-0000F61E0000}"/>
    <cellStyle name="40% - Accent1 2 5 3 2 2 2" xfId="6641" xr:uid="{00000000-0005-0000-0000-0000F71E0000}"/>
    <cellStyle name="40% - Accent1 2 5 3 2 2 3" xfId="23418" xr:uid="{00000000-0005-0000-0000-0000F81E0000}"/>
    <cellStyle name="40% - Accent1 2 5 3 2 3" xfId="6642" xr:uid="{00000000-0005-0000-0000-0000F91E0000}"/>
    <cellStyle name="40% - Accent1 2 5 3 2 4" xfId="20835" xr:uid="{00000000-0005-0000-0000-0000FA1E0000}"/>
    <cellStyle name="40% - Accent1 2 5 3 3" xfId="6643" xr:uid="{00000000-0005-0000-0000-0000FB1E0000}"/>
    <cellStyle name="40% - Accent1 2 5 3 3 2" xfId="6644" xr:uid="{00000000-0005-0000-0000-0000FC1E0000}"/>
    <cellStyle name="40% - Accent1 2 5 3 3 3" xfId="22128" xr:uid="{00000000-0005-0000-0000-0000FD1E0000}"/>
    <cellStyle name="40% - Accent1 2 5 3 4" xfId="6645" xr:uid="{00000000-0005-0000-0000-0000FE1E0000}"/>
    <cellStyle name="40% - Accent1 2 5 3 5" xfId="19541" xr:uid="{00000000-0005-0000-0000-0000FF1E0000}"/>
    <cellStyle name="40% - Accent1 2 5 4" xfId="6646" xr:uid="{00000000-0005-0000-0000-0000001F0000}"/>
    <cellStyle name="40% - Accent1 2 5 4 2" xfId="6647" xr:uid="{00000000-0005-0000-0000-0000011F0000}"/>
    <cellStyle name="40% - Accent1 2 5 4 2 2" xfId="6648" xr:uid="{00000000-0005-0000-0000-0000021F0000}"/>
    <cellStyle name="40% - Accent1 2 5 4 2 3" xfId="22773" xr:uid="{00000000-0005-0000-0000-0000031F0000}"/>
    <cellStyle name="40% - Accent1 2 5 4 3" xfId="6649" xr:uid="{00000000-0005-0000-0000-0000041F0000}"/>
    <cellStyle name="40% - Accent1 2 5 4 4" xfId="20190" xr:uid="{00000000-0005-0000-0000-0000051F0000}"/>
    <cellStyle name="40% - Accent1 2 5 5" xfId="6650" xr:uid="{00000000-0005-0000-0000-0000061F0000}"/>
    <cellStyle name="40% - Accent1 2 5 5 2" xfId="6651" xr:uid="{00000000-0005-0000-0000-0000071F0000}"/>
    <cellStyle name="40% - Accent1 2 5 5 3" xfId="21483" xr:uid="{00000000-0005-0000-0000-0000081F0000}"/>
    <cellStyle name="40% - Accent1 2 5 6" xfId="6652" xr:uid="{00000000-0005-0000-0000-0000091F0000}"/>
    <cellStyle name="40% - Accent1 2 5 7" xfId="18889" xr:uid="{00000000-0005-0000-0000-00000A1F0000}"/>
    <cellStyle name="40% - Accent1 2 6" xfId="6653" xr:uid="{00000000-0005-0000-0000-00000B1F0000}"/>
    <cellStyle name="40% - Accent1 2 6 2" xfId="6654" xr:uid="{00000000-0005-0000-0000-00000C1F0000}"/>
    <cellStyle name="40% - Accent1 2 6 2 2" xfId="6655" xr:uid="{00000000-0005-0000-0000-00000D1F0000}"/>
    <cellStyle name="40% - Accent1 2 6 2 2 2" xfId="6656" xr:uid="{00000000-0005-0000-0000-00000E1F0000}"/>
    <cellStyle name="40% - Accent1 2 6 2 2 2 2" xfId="6657" xr:uid="{00000000-0005-0000-0000-00000F1F0000}"/>
    <cellStyle name="40% - Accent1 2 6 2 2 2 3" xfId="23579" xr:uid="{00000000-0005-0000-0000-0000101F0000}"/>
    <cellStyle name="40% - Accent1 2 6 2 2 3" xfId="6658" xr:uid="{00000000-0005-0000-0000-0000111F0000}"/>
    <cellStyle name="40% - Accent1 2 6 2 2 4" xfId="20996" xr:uid="{00000000-0005-0000-0000-0000121F0000}"/>
    <cellStyle name="40% - Accent1 2 6 2 3" xfId="6659" xr:uid="{00000000-0005-0000-0000-0000131F0000}"/>
    <cellStyle name="40% - Accent1 2 6 2 3 2" xfId="6660" xr:uid="{00000000-0005-0000-0000-0000141F0000}"/>
    <cellStyle name="40% - Accent1 2 6 2 3 3" xfId="22289" xr:uid="{00000000-0005-0000-0000-0000151F0000}"/>
    <cellStyle name="40% - Accent1 2 6 2 4" xfId="6661" xr:uid="{00000000-0005-0000-0000-0000161F0000}"/>
    <cellStyle name="40% - Accent1 2 6 2 5" xfId="19702" xr:uid="{00000000-0005-0000-0000-0000171F0000}"/>
    <cellStyle name="40% - Accent1 2 6 3" xfId="6662" xr:uid="{00000000-0005-0000-0000-0000181F0000}"/>
    <cellStyle name="40% - Accent1 2 6 3 2" xfId="6663" xr:uid="{00000000-0005-0000-0000-0000191F0000}"/>
    <cellStyle name="40% - Accent1 2 6 3 2 2" xfId="6664" xr:uid="{00000000-0005-0000-0000-00001A1F0000}"/>
    <cellStyle name="40% - Accent1 2 6 3 2 3" xfId="22934" xr:uid="{00000000-0005-0000-0000-00001B1F0000}"/>
    <cellStyle name="40% - Accent1 2 6 3 3" xfId="6665" xr:uid="{00000000-0005-0000-0000-00001C1F0000}"/>
    <cellStyle name="40% - Accent1 2 6 3 4" xfId="20351" xr:uid="{00000000-0005-0000-0000-00001D1F0000}"/>
    <cellStyle name="40% - Accent1 2 6 4" xfId="6666" xr:uid="{00000000-0005-0000-0000-00001E1F0000}"/>
    <cellStyle name="40% - Accent1 2 6 4 2" xfId="6667" xr:uid="{00000000-0005-0000-0000-00001F1F0000}"/>
    <cellStyle name="40% - Accent1 2 6 4 3" xfId="21644" xr:uid="{00000000-0005-0000-0000-0000201F0000}"/>
    <cellStyle name="40% - Accent1 2 6 5" xfId="6668" xr:uid="{00000000-0005-0000-0000-0000211F0000}"/>
    <cellStyle name="40% - Accent1 2 6 6" xfId="19054" xr:uid="{00000000-0005-0000-0000-0000221F0000}"/>
    <cellStyle name="40% - Accent1 2 7" xfId="6669" xr:uid="{00000000-0005-0000-0000-0000231F0000}"/>
    <cellStyle name="40% - Accent1 2 7 2" xfId="6670" xr:uid="{00000000-0005-0000-0000-0000241F0000}"/>
    <cellStyle name="40% - Accent1 2 7 2 2" xfId="6671" xr:uid="{00000000-0005-0000-0000-0000251F0000}"/>
    <cellStyle name="40% - Accent1 2 7 2 2 2" xfId="6672" xr:uid="{00000000-0005-0000-0000-0000261F0000}"/>
    <cellStyle name="40% - Accent1 2 7 2 2 3" xfId="23256" xr:uid="{00000000-0005-0000-0000-0000271F0000}"/>
    <cellStyle name="40% - Accent1 2 7 2 3" xfId="6673" xr:uid="{00000000-0005-0000-0000-0000281F0000}"/>
    <cellStyle name="40% - Accent1 2 7 2 4" xfId="20673" xr:uid="{00000000-0005-0000-0000-0000291F0000}"/>
    <cellStyle name="40% - Accent1 2 7 3" xfId="6674" xr:uid="{00000000-0005-0000-0000-00002A1F0000}"/>
    <cellStyle name="40% - Accent1 2 7 3 2" xfId="6675" xr:uid="{00000000-0005-0000-0000-00002B1F0000}"/>
    <cellStyle name="40% - Accent1 2 7 3 3" xfId="21966" xr:uid="{00000000-0005-0000-0000-00002C1F0000}"/>
    <cellStyle name="40% - Accent1 2 7 4" xfId="6676" xr:uid="{00000000-0005-0000-0000-00002D1F0000}"/>
    <cellStyle name="40% - Accent1 2 7 5" xfId="19380" xr:uid="{00000000-0005-0000-0000-00002E1F0000}"/>
    <cellStyle name="40% - Accent1 2 8" xfId="6677" xr:uid="{00000000-0005-0000-0000-00002F1F0000}"/>
    <cellStyle name="40% - Accent1 2 8 2" xfId="6678" xr:uid="{00000000-0005-0000-0000-0000301F0000}"/>
    <cellStyle name="40% - Accent1 2 8 2 2" xfId="6679" xr:uid="{00000000-0005-0000-0000-0000311F0000}"/>
    <cellStyle name="40% - Accent1 2 8 2 3" xfId="22611" xr:uid="{00000000-0005-0000-0000-0000321F0000}"/>
    <cellStyle name="40% - Accent1 2 8 3" xfId="6680" xr:uid="{00000000-0005-0000-0000-0000331F0000}"/>
    <cellStyle name="40% - Accent1 2 8 4" xfId="20028" xr:uid="{00000000-0005-0000-0000-0000341F0000}"/>
    <cellStyle name="40% - Accent1 2 9" xfId="6681" xr:uid="{00000000-0005-0000-0000-0000351F0000}"/>
    <cellStyle name="40% - Accent1 2 9 2" xfId="6682" xr:uid="{00000000-0005-0000-0000-0000361F0000}"/>
    <cellStyle name="40% - Accent1 2 9 3" xfId="21321" xr:uid="{00000000-0005-0000-0000-0000371F0000}"/>
    <cellStyle name="40% - Accent1 3" xfId="6683" xr:uid="{00000000-0005-0000-0000-0000381F0000}"/>
    <cellStyle name="40% - Accent1 3 10" xfId="18709" xr:uid="{00000000-0005-0000-0000-0000391F0000}"/>
    <cellStyle name="40% - Accent1 3 2" xfId="6684" xr:uid="{00000000-0005-0000-0000-00003A1F0000}"/>
    <cellStyle name="40% - Accent1 3 2 2" xfId="6685" xr:uid="{00000000-0005-0000-0000-00003B1F0000}"/>
    <cellStyle name="40% - Accent1 3 2 2 2" xfId="6686" xr:uid="{00000000-0005-0000-0000-00003C1F0000}"/>
    <cellStyle name="40% - Accent1 3 2 2 2 2" xfId="6687" xr:uid="{00000000-0005-0000-0000-00003D1F0000}"/>
    <cellStyle name="40% - Accent1 3 2 2 2 2 2" xfId="6688" xr:uid="{00000000-0005-0000-0000-00003E1F0000}"/>
    <cellStyle name="40% - Accent1 3 2 2 2 2 2 2" xfId="6689" xr:uid="{00000000-0005-0000-0000-00003F1F0000}"/>
    <cellStyle name="40% - Accent1 3 2 2 2 2 2 2 2" xfId="6690" xr:uid="{00000000-0005-0000-0000-0000401F0000}"/>
    <cellStyle name="40% - Accent1 3 2 2 2 2 2 2 2 2" xfId="6691" xr:uid="{00000000-0005-0000-0000-0000411F0000}"/>
    <cellStyle name="40% - Accent1 3 2 2 2 2 2 2 2 3" xfId="23870" xr:uid="{00000000-0005-0000-0000-0000421F0000}"/>
    <cellStyle name="40% - Accent1 3 2 2 2 2 2 2 3" xfId="6692" xr:uid="{00000000-0005-0000-0000-0000431F0000}"/>
    <cellStyle name="40% - Accent1 3 2 2 2 2 2 2 4" xfId="21287" xr:uid="{00000000-0005-0000-0000-0000441F0000}"/>
    <cellStyle name="40% - Accent1 3 2 2 2 2 2 3" xfId="6693" xr:uid="{00000000-0005-0000-0000-0000451F0000}"/>
    <cellStyle name="40% - Accent1 3 2 2 2 2 2 3 2" xfId="6694" xr:uid="{00000000-0005-0000-0000-0000461F0000}"/>
    <cellStyle name="40% - Accent1 3 2 2 2 2 2 3 3" xfId="22580" xr:uid="{00000000-0005-0000-0000-0000471F0000}"/>
    <cellStyle name="40% - Accent1 3 2 2 2 2 2 4" xfId="6695" xr:uid="{00000000-0005-0000-0000-0000481F0000}"/>
    <cellStyle name="40% - Accent1 3 2 2 2 2 2 5" xfId="19993" xr:uid="{00000000-0005-0000-0000-0000491F0000}"/>
    <cellStyle name="40% - Accent1 3 2 2 2 2 3" xfId="6696" xr:uid="{00000000-0005-0000-0000-00004A1F0000}"/>
    <cellStyle name="40% - Accent1 3 2 2 2 2 3 2" xfId="6697" xr:uid="{00000000-0005-0000-0000-00004B1F0000}"/>
    <cellStyle name="40% - Accent1 3 2 2 2 2 3 2 2" xfId="6698" xr:uid="{00000000-0005-0000-0000-00004C1F0000}"/>
    <cellStyle name="40% - Accent1 3 2 2 2 2 3 2 3" xfId="23225" xr:uid="{00000000-0005-0000-0000-00004D1F0000}"/>
    <cellStyle name="40% - Accent1 3 2 2 2 2 3 3" xfId="6699" xr:uid="{00000000-0005-0000-0000-00004E1F0000}"/>
    <cellStyle name="40% - Accent1 3 2 2 2 2 3 4" xfId="20642" xr:uid="{00000000-0005-0000-0000-00004F1F0000}"/>
    <cellStyle name="40% - Accent1 3 2 2 2 2 4" xfId="6700" xr:uid="{00000000-0005-0000-0000-0000501F0000}"/>
    <cellStyle name="40% - Accent1 3 2 2 2 2 4 2" xfId="6701" xr:uid="{00000000-0005-0000-0000-0000511F0000}"/>
    <cellStyle name="40% - Accent1 3 2 2 2 2 4 3" xfId="21935" xr:uid="{00000000-0005-0000-0000-0000521F0000}"/>
    <cellStyle name="40% - Accent1 3 2 2 2 2 5" xfId="6702" xr:uid="{00000000-0005-0000-0000-0000531F0000}"/>
    <cellStyle name="40% - Accent1 3 2 2 2 2 6" xfId="19345" xr:uid="{00000000-0005-0000-0000-0000541F0000}"/>
    <cellStyle name="40% - Accent1 3 2 2 2 3" xfId="6703" xr:uid="{00000000-0005-0000-0000-0000551F0000}"/>
    <cellStyle name="40% - Accent1 3 2 2 2 3 2" xfId="6704" xr:uid="{00000000-0005-0000-0000-0000561F0000}"/>
    <cellStyle name="40% - Accent1 3 2 2 2 3 2 2" xfId="6705" xr:uid="{00000000-0005-0000-0000-0000571F0000}"/>
    <cellStyle name="40% - Accent1 3 2 2 2 3 2 2 2" xfId="6706" xr:uid="{00000000-0005-0000-0000-0000581F0000}"/>
    <cellStyle name="40% - Accent1 3 2 2 2 3 2 2 3" xfId="23548" xr:uid="{00000000-0005-0000-0000-0000591F0000}"/>
    <cellStyle name="40% - Accent1 3 2 2 2 3 2 3" xfId="6707" xr:uid="{00000000-0005-0000-0000-00005A1F0000}"/>
    <cellStyle name="40% - Accent1 3 2 2 2 3 2 4" xfId="20965" xr:uid="{00000000-0005-0000-0000-00005B1F0000}"/>
    <cellStyle name="40% - Accent1 3 2 2 2 3 3" xfId="6708" xr:uid="{00000000-0005-0000-0000-00005C1F0000}"/>
    <cellStyle name="40% - Accent1 3 2 2 2 3 3 2" xfId="6709" xr:uid="{00000000-0005-0000-0000-00005D1F0000}"/>
    <cellStyle name="40% - Accent1 3 2 2 2 3 3 3" xfId="22258" xr:uid="{00000000-0005-0000-0000-00005E1F0000}"/>
    <cellStyle name="40% - Accent1 3 2 2 2 3 4" xfId="6710" xr:uid="{00000000-0005-0000-0000-00005F1F0000}"/>
    <cellStyle name="40% - Accent1 3 2 2 2 3 5" xfId="19671" xr:uid="{00000000-0005-0000-0000-0000601F0000}"/>
    <cellStyle name="40% - Accent1 3 2 2 2 4" xfId="6711" xr:uid="{00000000-0005-0000-0000-0000611F0000}"/>
    <cellStyle name="40% - Accent1 3 2 2 2 4 2" xfId="6712" xr:uid="{00000000-0005-0000-0000-0000621F0000}"/>
    <cellStyle name="40% - Accent1 3 2 2 2 4 2 2" xfId="6713" xr:uid="{00000000-0005-0000-0000-0000631F0000}"/>
    <cellStyle name="40% - Accent1 3 2 2 2 4 2 3" xfId="22903" xr:uid="{00000000-0005-0000-0000-0000641F0000}"/>
    <cellStyle name="40% - Accent1 3 2 2 2 4 3" xfId="6714" xr:uid="{00000000-0005-0000-0000-0000651F0000}"/>
    <cellStyle name="40% - Accent1 3 2 2 2 4 4" xfId="20320" xr:uid="{00000000-0005-0000-0000-0000661F0000}"/>
    <cellStyle name="40% - Accent1 3 2 2 2 5" xfId="6715" xr:uid="{00000000-0005-0000-0000-0000671F0000}"/>
    <cellStyle name="40% - Accent1 3 2 2 2 5 2" xfId="6716" xr:uid="{00000000-0005-0000-0000-0000681F0000}"/>
    <cellStyle name="40% - Accent1 3 2 2 2 5 3" xfId="21613" xr:uid="{00000000-0005-0000-0000-0000691F0000}"/>
    <cellStyle name="40% - Accent1 3 2 2 2 6" xfId="6717" xr:uid="{00000000-0005-0000-0000-00006A1F0000}"/>
    <cellStyle name="40% - Accent1 3 2 2 2 7" xfId="19019" xr:uid="{00000000-0005-0000-0000-00006B1F0000}"/>
    <cellStyle name="40% - Accent1 3 2 2 3" xfId="6718" xr:uid="{00000000-0005-0000-0000-00006C1F0000}"/>
    <cellStyle name="40% - Accent1 3 2 2 3 2" xfId="6719" xr:uid="{00000000-0005-0000-0000-00006D1F0000}"/>
    <cellStyle name="40% - Accent1 3 2 2 3 2 2" xfId="6720" xr:uid="{00000000-0005-0000-0000-00006E1F0000}"/>
    <cellStyle name="40% - Accent1 3 2 2 3 2 2 2" xfId="6721" xr:uid="{00000000-0005-0000-0000-00006F1F0000}"/>
    <cellStyle name="40% - Accent1 3 2 2 3 2 2 2 2" xfId="6722" xr:uid="{00000000-0005-0000-0000-0000701F0000}"/>
    <cellStyle name="40% - Accent1 3 2 2 3 2 2 2 3" xfId="23709" xr:uid="{00000000-0005-0000-0000-0000711F0000}"/>
    <cellStyle name="40% - Accent1 3 2 2 3 2 2 3" xfId="6723" xr:uid="{00000000-0005-0000-0000-0000721F0000}"/>
    <cellStyle name="40% - Accent1 3 2 2 3 2 2 4" xfId="21126" xr:uid="{00000000-0005-0000-0000-0000731F0000}"/>
    <cellStyle name="40% - Accent1 3 2 2 3 2 3" xfId="6724" xr:uid="{00000000-0005-0000-0000-0000741F0000}"/>
    <cellStyle name="40% - Accent1 3 2 2 3 2 3 2" xfId="6725" xr:uid="{00000000-0005-0000-0000-0000751F0000}"/>
    <cellStyle name="40% - Accent1 3 2 2 3 2 3 3" xfId="22419" xr:uid="{00000000-0005-0000-0000-0000761F0000}"/>
    <cellStyle name="40% - Accent1 3 2 2 3 2 4" xfId="6726" xr:uid="{00000000-0005-0000-0000-0000771F0000}"/>
    <cellStyle name="40% - Accent1 3 2 2 3 2 5" xfId="19832" xr:uid="{00000000-0005-0000-0000-0000781F0000}"/>
    <cellStyle name="40% - Accent1 3 2 2 3 3" xfId="6727" xr:uid="{00000000-0005-0000-0000-0000791F0000}"/>
    <cellStyle name="40% - Accent1 3 2 2 3 3 2" xfId="6728" xr:uid="{00000000-0005-0000-0000-00007A1F0000}"/>
    <cellStyle name="40% - Accent1 3 2 2 3 3 2 2" xfId="6729" xr:uid="{00000000-0005-0000-0000-00007B1F0000}"/>
    <cellStyle name="40% - Accent1 3 2 2 3 3 2 3" xfId="23064" xr:uid="{00000000-0005-0000-0000-00007C1F0000}"/>
    <cellStyle name="40% - Accent1 3 2 2 3 3 3" xfId="6730" xr:uid="{00000000-0005-0000-0000-00007D1F0000}"/>
    <cellStyle name="40% - Accent1 3 2 2 3 3 4" xfId="20481" xr:uid="{00000000-0005-0000-0000-00007E1F0000}"/>
    <cellStyle name="40% - Accent1 3 2 2 3 4" xfId="6731" xr:uid="{00000000-0005-0000-0000-00007F1F0000}"/>
    <cellStyle name="40% - Accent1 3 2 2 3 4 2" xfId="6732" xr:uid="{00000000-0005-0000-0000-0000801F0000}"/>
    <cellStyle name="40% - Accent1 3 2 2 3 4 3" xfId="21774" xr:uid="{00000000-0005-0000-0000-0000811F0000}"/>
    <cellStyle name="40% - Accent1 3 2 2 3 5" xfId="6733" xr:uid="{00000000-0005-0000-0000-0000821F0000}"/>
    <cellStyle name="40% - Accent1 3 2 2 3 6" xfId="19184" xr:uid="{00000000-0005-0000-0000-0000831F0000}"/>
    <cellStyle name="40% - Accent1 3 2 2 4" xfId="6734" xr:uid="{00000000-0005-0000-0000-0000841F0000}"/>
    <cellStyle name="40% - Accent1 3 2 2 4 2" xfId="6735" xr:uid="{00000000-0005-0000-0000-0000851F0000}"/>
    <cellStyle name="40% - Accent1 3 2 2 4 2 2" xfId="6736" xr:uid="{00000000-0005-0000-0000-0000861F0000}"/>
    <cellStyle name="40% - Accent1 3 2 2 4 2 2 2" xfId="6737" xr:uid="{00000000-0005-0000-0000-0000871F0000}"/>
    <cellStyle name="40% - Accent1 3 2 2 4 2 2 3" xfId="23387" xr:uid="{00000000-0005-0000-0000-0000881F0000}"/>
    <cellStyle name="40% - Accent1 3 2 2 4 2 3" xfId="6738" xr:uid="{00000000-0005-0000-0000-0000891F0000}"/>
    <cellStyle name="40% - Accent1 3 2 2 4 2 4" xfId="20804" xr:uid="{00000000-0005-0000-0000-00008A1F0000}"/>
    <cellStyle name="40% - Accent1 3 2 2 4 3" xfId="6739" xr:uid="{00000000-0005-0000-0000-00008B1F0000}"/>
    <cellStyle name="40% - Accent1 3 2 2 4 3 2" xfId="6740" xr:uid="{00000000-0005-0000-0000-00008C1F0000}"/>
    <cellStyle name="40% - Accent1 3 2 2 4 3 3" xfId="22097" xr:uid="{00000000-0005-0000-0000-00008D1F0000}"/>
    <cellStyle name="40% - Accent1 3 2 2 4 4" xfId="6741" xr:uid="{00000000-0005-0000-0000-00008E1F0000}"/>
    <cellStyle name="40% - Accent1 3 2 2 4 5" xfId="19510" xr:uid="{00000000-0005-0000-0000-00008F1F0000}"/>
    <cellStyle name="40% - Accent1 3 2 2 5" xfId="6742" xr:uid="{00000000-0005-0000-0000-0000901F0000}"/>
    <cellStyle name="40% - Accent1 3 2 2 5 2" xfId="6743" xr:uid="{00000000-0005-0000-0000-0000911F0000}"/>
    <cellStyle name="40% - Accent1 3 2 2 5 2 2" xfId="6744" xr:uid="{00000000-0005-0000-0000-0000921F0000}"/>
    <cellStyle name="40% - Accent1 3 2 2 5 2 3" xfId="22742" xr:uid="{00000000-0005-0000-0000-0000931F0000}"/>
    <cellStyle name="40% - Accent1 3 2 2 5 3" xfId="6745" xr:uid="{00000000-0005-0000-0000-0000941F0000}"/>
    <cellStyle name="40% - Accent1 3 2 2 5 4" xfId="20159" xr:uid="{00000000-0005-0000-0000-0000951F0000}"/>
    <cellStyle name="40% - Accent1 3 2 2 6" xfId="6746" xr:uid="{00000000-0005-0000-0000-0000961F0000}"/>
    <cellStyle name="40% - Accent1 3 2 2 6 2" xfId="6747" xr:uid="{00000000-0005-0000-0000-0000971F0000}"/>
    <cellStyle name="40% - Accent1 3 2 2 6 3" xfId="21452" xr:uid="{00000000-0005-0000-0000-0000981F0000}"/>
    <cellStyle name="40% - Accent1 3 2 2 7" xfId="6748" xr:uid="{00000000-0005-0000-0000-0000991F0000}"/>
    <cellStyle name="40% - Accent1 3 2 2 8" xfId="18854" xr:uid="{00000000-0005-0000-0000-00009A1F0000}"/>
    <cellStyle name="40% - Accent1 3 2 3" xfId="6749" xr:uid="{00000000-0005-0000-0000-00009B1F0000}"/>
    <cellStyle name="40% - Accent1 3 2 3 2" xfId="6750" xr:uid="{00000000-0005-0000-0000-00009C1F0000}"/>
    <cellStyle name="40% - Accent1 3 2 3 2 2" xfId="6751" xr:uid="{00000000-0005-0000-0000-00009D1F0000}"/>
    <cellStyle name="40% - Accent1 3 2 3 2 2 2" xfId="6752" xr:uid="{00000000-0005-0000-0000-00009E1F0000}"/>
    <cellStyle name="40% - Accent1 3 2 3 2 2 2 2" xfId="6753" xr:uid="{00000000-0005-0000-0000-00009F1F0000}"/>
    <cellStyle name="40% - Accent1 3 2 3 2 2 2 2 2" xfId="6754" xr:uid="{00000000-0005-0000-0000-0000A01F0000}"/>
    <cellStyle name="40% - Accent1 3 2 3 2 2 2 2 3" xfId="23790" xr:uid="{00000000-0005-0000-0000-0000A11F0000}"/>
    <cellStyle name="40% - Accent1 3 2 3 2 2 2 3" xfId="6755" xr:uid="{00000000-0005-0000-0000-0000A21F0000}"/>
    <cellStyle name="40% - Accent1 3 2 3 2 2 2 4" xfId="21207" xr:uid="{00000000-0005-0000-0000-0000A31F0000}"/>
    <cellStyle name="40% - Accent1 3 2 3 2 2 3" xfId="6756" xr:uid="{00000000-0005-0000-0000-0000A41F0000}"/>
    <cellStyle name="40% - Accent1 3 2 3 2 2 3 2" xfId="6757" xr:uid="{00000000-0005-0000-0000-0000A51F0000}"/>
    <cellStyle name="40% - Accent1 3 2 3 2 2 3 3" xfId="22500" xr:uid="{00000000-0005-0000-0000-0000A61F0000}"/>
    <cellStyle name="40% - Accent1 3 2 3 2 2 4" xfId="6758" xr:uid="{00000000-0005-0000-0000-0000A71F0000}"/>
    <cellStyle name="40% - Accent1 3 2 3 2 2 5" xfId="19913" xr:uid="{00000000-0005-0000-0000-0000A81F0000}"/>
    <cellStyle name="40% - Accent1 3 2 3 2 3" xfId="6759" xr:uid="{00000000-0005-0000-0000-0000A91F0000}"/>
    <cellStyle name="40% - Accent1 3 2 3 2 3 2" xfId="6760" xr:uid="{00000000-0005-0000-0000-0000AA1F0000}"/>
    <cellStyle name="40% - Accent1 3 2 3 2 3 2 2" xfId="6761" xr:uid="{00000000-0005-0000-0000-0000AB1F0000}"/>
    <cellStyle name="40% - Accent1 3 2 3 2 3 2 3" xfId="23145" xr:uid="{00000000-0005-0000-0000-0000AC1F0000}"/>
    <cellStyle name="40% - Accent1 3 2 3 2 3 3" xfId="6762" xr:uid="{00000000-0005-0000-0000-0000AD1F0000}"/>
    <cellStyle name="40% - Accent1 3 2 3 2 3 4" xfId="20562" xr:uid="{00000000-0005-0000-0000-0000AE1F0000}"/>
    <cellStyle name="40% - Accent1 3 2 3 2 4" xfId="6763" xr:uid="{00000000-0005-0000-0000-0000AF1F0000}"/>
    <cellStyle name="40% - Accent1 3 2 3 2 4 2" xfId="6764" xr:uid="{00000000-0005-0000-0000-0000B01F0000}"/>
    <cellStyle name="40% - Accent1 3 2 3 2 4 3" xfId="21855" xr:uid="{00000000-0005-0000-0000-0000B11F0000}"/>
    <cellStyle name="40% - Accent1 3 2 3 2 5" xfId="6765" xr:uid="{00000000-0005-0000-0000-0000B21F0000}"/>
    <cellStyle name="40% - Accent1 3 2 3 2 6" xfId="19265" xr:uid="{00000000-0005-0000-0000-0000B31F0000}"/>
    <cellStyle name="40% - Accent1 3 2 3 3" xfId="6766" xr:uid="{00000000-0005-0000-0000-0000B41F0000}"/>
    <cellStyle name="40% - Accent1 3 2 3 3 2" xfId="6767" xr:uid="{00000000-0005-0000-0000-0000B51F0000}"/>
    <cellStyle name="40% - Accent1 3 2 3 3 2 2" xfId="6768" xr:uid="{00000000-0005-0000-0000-0000B61F0000}"/>
    <cellStyle name="40% - Accent1 3 2 3 3 2 2 2" xfId="6769" xr:uid="{00000000-0005-0000-0000-0000B71F0000}"/>
    <cellStyle name="40% - Accent1 3 2 3 3 2 2 3" xfId="23468" xr:uid="{00000000-0005-0000-0000-0000B81F0000}"/>
    <cellStyle name="40% - Accent1 3 2 3 3 2 3" xfId="6770" xr:uid="{00000000-0005-0000-0000-0000B91F0000}"/>
    <cellStyle name="40% - Accent1 3 2 3 3 2 4" xfId="20885" xr:uid="{00000000-0005-0000-0000-0000BA1F0000}"/>
    <cellStyle name="40% - Accent1 3 2 3 3 3" xfId="6771" xr:uid="{00000000-0005-0000-0000-0000BB1F0000}"/>
    <cellStyle name="40% - Accent1 3 2 3 3 3 2" xfId="6772" xr:uid="{00000000-0005-0000-0000-0000BC1F0000}"/>
    <cellStyle name="40% - Accent1 3 2 3 3 3 3" xfId="22178" xr:uid="{00000000-0005-0000-0000-0000BD1F0000}"/>
    <cellStyle name="40% - Accent1 3 2 3 3 4" xfId="6773" xr:uid="{00000000-0005-0000-0000-0000BE1F0000}"/>
    <cellStyle name="40% - Accent1 3 2 3 3 5" xfId="19591" xr:uid="{00000000-0005-0000-0000-0000BF1F0000}"/>
    <cellStyle name="40% - Accent1 3 2 3 4" xfId="6774" xr:uid="{00000000-0005-0000-0000-0000C01F0000}"/>
    <cellStyle name="40% - Accent1 3 2 3 4 2" xfId="6775" xr:uid="{00000000-0005-0000-0000-0000C11F0000}"/>
    <cellStyle name="40% - Accent1 3 2 3 4 2 2" xfId="6776" xr:uid="{00000000-0005-0000-0000-0000C21F0000}"/>
    <cellStyle name="40% - Accent1 3 2 3 4 2 3" xfId="22823" xr:uid="{00000000-0005-0000-0000-0000C31F0000}"/>
    <cellStyle name="40% - Accent1 3 2 3 4 3" xfId="6777" xr:uid="{00000000-0005-0000-0000-0000C41F0000}"/>
    <cellStyle name="40% - Accent1 3 2 3 4 4" xfId="20240" xr:uid="{00000000-0005-0000-0000-0000C51F0000}"/>
    <cellStyle name="40% - Accent1 3 2 3 5" xfId="6778" xr:uid="{00000000-0005-0000-0000-0000C61F0000}"/>
    <cellStyle name="40% - Accent1 3 2 3 5 2" xfId="6779" xr:uid="{00000000-0005-0000-0000-0000C71F0000}"/>
    <cellStyle name="40% - Accent1 3 2 3 5 3" xfId="21533" xr:uid="{00000000-0005-0000-0000-0000C81F0000}"/>
    <cellStyle name="40% - Accent1 3 2 3 6" xfId="6780" xr:uid="{00000000-0005-0000-0000-0000C91F0000}"/>
    <cellStyle name="40% - Accent1 3 2 3 7" xfId="18939" xr:uid="{00000000-0005-0000-0000-0000CA1F0000}"/>
    <cellStyle name="40% - Accent1 3 2 4" xfId="6781" xr:uid="{00000000-0005-0000-0000-0000CB1F0000}"/>
    <cellStyle name="40% - Accent1 3 2 4 2" xfId="6782" xr:uid="{00000000-0005-0000-0000-0000CC1F0000}"/>
    <cellStyle name="40% - Accent1 3 2 4 2 2" xfId="6783" xr:uid="{00000000-0005-0000-0000-0000CD1F0000}"/>
    <cellStyle name="40% - Accent1 3 2 4 2 2 2" xfId="6784" xr:uid="{00000000-0005-0000-0000-0000CE1F0000}"/>
    <cellStyle name="40% - Accent1 3 2 4 2 2 2 2" xfId="6785" xr:uid="{00000000-0005-0000-0000-0000CF1F0000}"/>
    <cellStyle name="40% - Accent1 3 2 4 2 2 2 3" xfId="23629" xr:uid="{00000000-0005-0000-0000-0000D01F0000}"/>
    <cellStyle name="40% - Accent1 3 2 4 2 2 3" xfId="6786" xr:uid="{00000000-0005-0000-0000-0000D11F0000}"/>
    <cellStyle name="40% - Accent1 3 2 4 2 2 4" xfId="21046" xr:uid="{00000000-0005-0000-0000-0000D21F0000}"/>
    <cellStyle name="40% - Accent1 3 2 4 2 3" xfId="6787" xr:uid="{00000000-0005-0000-0000-0000D31F0000}"/>
    <cellStyle name="40% - Accent1 3 2 4 2 3 2" xfId="6788" xr:uid="{00000000-0005-0000-0000-0000D41F0000}"/>
    <cellStyle name="40% - Accent1 3 2 4 2 3 3" xfId="22339" xr:uid="{00000000-0005-0000-0000-0000D51F0000}"/>
    <cellStyle name="40% - Accent1 3 2 4 2 4" xfId="6789" xr:uid="{00000000-0005-0000-0000-0000D61F0000}"/>
    <cellStyle name="40% - Accent1 3 2 4 2 5" xfId="19752" xr:uid="{00000000-0005-0000-0000-0000D71F0000}"/>
    <cellStyle name="40% - Accent1 3 2 4 3" xfId="6790" xr:uid="{00000000-0005-0000-0000-0000D81F0000}"/>
    <cellStyle name="40% - Accent1 3 2 4 3 2" xfId="6791" xr:uid="{00000000-0005-0000-0000-0000D91F0000}"/>
    <cellStyle name="40% - Accent1 3 2 4 3 2 2" xfId="6792" xr:uid="{00000000-0005-0000-0000-0000DA1F0000}"/>
    <cellStyle name="40% - Accent1 3 2 4 3 2 3" xfId="22984" xr:uid="{00000000-0005-0000-0000-0000DB1F0000}"/>
    <cellStyle name="40% - Accent1 3 2 4 3 3" xfId="6793" xr:uid="{00000000-0005-0000-0000-0000DC1F0000}"/>
    <cellStyle name="40% - Accent1 3 2 4 3 4" xfId="20401" xr:uid="{00000000-0005-0000-0000-0000DD1F0000}"/>
    <cellStyle name="40% - Accent1 3 2 4 4" xfId="6794" xr:uid="{00000000-0005-0000-0000-0000DE1F0000}"/>
    <cellStyle name="40% - Accent1 3 2 4 4 2" xfId="6795" xr:uid="{00000000-0005-0000-0000-0000DF1F0000}"/>
    <cellStyle name="40% - Accent1 3 2 4 4 3" xfId="21694" xr:uid="{00000000-0005-0000-0000-0000E01F0000}"/>
    <cellStyle name="40% - Accent1 3 2 4 5" xfId="6796" xr:uid="{00000000-0005-0000-0000-0000E11F0000}"/>
    <cellStyle name="40% - Accent1 3 2 4 6" xfId="19104" xr:uid="{00000000-0005-0000-0000-0000E21F0000}"/>
    <cellStyle name="40% - Accent1 3 2 5" xfId="6797" xr:uid="{00000000-0005-0000-0000-0000E31F0000}"/>
    <cellStyle name="40% - Accent1 3 2 5 2" xfId="6798" xr:uid="{00000000-0005-0000-0000-0000E41F0000}"/>
    <cellStyle name="40% - Accent1 3 2 5 2 2" xfId="6799" xr:uid="{00000000-0005-0000-0000-0000E51F0000}"/>
    <cellStyle name="40% - Accent1 3 2 5 2 2 2" xfId="6800" xr:uid="{00000000-0005-0000-0000-0000E61F0000}"/>
    <cellStyle name="40% - Accent1 3 2 5 2 2 3" xfId="23306" xr:uid="{00000000-0005-0000-0000-0000E71F0000}"/>
    <cellStyle name="40% - Accent1 3 2 5 2 3" xfId="6801" xr:uid="{00000000-0005-0000-0000-0000E81F0000}"/>
    <cellStyle name="40% - Accent1 3 2 5 2 4" xfId="20723" xr:uid="{00000000-0005-0000-0000-0000E91F0000}"/>
    <cellStyle name="40% - Accent1 3 2 5 3" xfId="6802" xr:uid="{00000000-0005-0000-0000-0000EA1F0000}"/>
    <cellStyle name="40% - Accent1 3 2 5 3 2" xfId="6803" xr:uid="{00000000-0005-0000-0000-0000EB1F0000}"/>
    <cellStyle name="40% - Accent1 3 2 5 3 3" xfId="22016" xr:uid="{00000000-0005-0000-0000-0000EC1F0000}"/>
    <cellStyle name="40% - Accent1 3 2 5 4" xfId="6804" xr:uid="{00000000-0005-0000-0000-0000ED1F0000}"/>
    <cellStyle name="40% - Accent1 3 2 5 5" xfId="19430" xr:uid="{00000000-0005-0000-0000-0000EE1F0000}"/>
    <cellStyle name="40% - Accent1 3 2 6" xfId="6805" xr:uid="{00000000-0005-0000-0000-0000EF1F0000}"/>
    <cellStyle name="40% - Accent1 3 2 6 2" xfId="6806" xr:uid="{00000000-0005-0000-0000-0000F01F0000}"/>
    <cellStyle name="40% - Accent1 3 2 6 2 2" xfId="6807" xr:uid="{00000000-0005-0000-0000-0000F11F0000}"/>
    <cellStyle name="40% - Accent1 3 2 6 2 3" xfId="22661" xr:uid="{00000000-0005-0000-0000-0000F21F0000}"/>
    <cellStyle name="40% - Accent1 3 2 6 3" xfId="6808" xr:uid="{00000000-0005-0000-0000-0000F31F0000}"/>
    <cellStyle name="40% - Accent1 3 2 6 4" xfId="20078" xr:uid="{00000000-0005-0000-0000-0000F41F0000}"/>
    <cellStyle name="40% - Accent1 3 2 7" xfId="6809" xr:uid="{00000000-0005-0000-0000-0000F51F0000}"/>
    <cellStyle name="40% - Accent1 3 2 7 2" xfId="6810" xr:uid="{00000000-0005-0000-0000-0000F61F0000}"/>
    <cellStyle name="40% - Accent1 3 2 7 3" xfId="21371" xr:uid="{00000000-0005-0000-0000-0000F71F0000}"/>
    <cellStyle name="40% - Accent1 3 2 8" xfId="6811" xr:uid="{00000000-0005-0000-0000-0000F81F0000}"/>
    <cellStyle name="40% - Accent1 3 2 9" xfId="18757" xr:uid="{00000000-0005-0000-0000-0000F91F0000}"/>
    <cellStyle name="40% - Accent1 3 3" xfId="6812" xr:uid="{00000000-0005-0000-0000-0000FA1F0000}"/>
    <cellStyle name="40% - Accent1 3 3 2" xfId="6813" xr:uid="{00000000-0005-0000-0000-0000FB1F0000}"/>
    <cellStyle name="40% - Accent1 3 3 2 2" xfId="6814" xr:uid="{00000000-0005-0000-0000-0000FC1F0000}"/>
    <cellStyle name="40% - Accent1 3 3 2 2 2" xfId="6815" xr:uid="{00000000-0005-0000-0000-0000FD1F0000}"/>
    <cellStyle name="40% - Accent1 3 3 2 2 2 2" xfId="6816" xr:uid="{00000000-0005-0000-0000-0000FE1F0000}"/>
    <cellStyle name="40% - Accent1 3 3 2 2 2 2 2" xfId="6817" xr:uid="{00000000-0005-0000-0000-0000FF1F0000}"/>
    <cellStyle name="40% - Accent1 3 3 2 2 2 2 2 2" xfId="6818" xr:uid="{00000000-0005-0000-0000-000000200000}"/>
    <cellStyle name="40% - Accent1 3 3 2 2 2 2 2 3" xfId="23830" xr:uid="{00000000-0005-0000-0000-000001200000}"/>
    <cellStyle name="40% - Accent1 3 3 2 2 2 2 3" xfId="6819" xr:uid="{00000000-0005-0000-0000-000002200000}"/>
    <cellStyle name="40% - Accent1 3 3 2 2 2 2 4" xfId="21247" xr:uid="{00000000-0005-0000-0000-000003200000}"/>
    <cellStyle name="40% - Accent1 3 3 2 2 2 3" xfId="6820" xr:uid="{00000000-0005-0000-0000-000004200000}"/>
    <cellStyle name="40% - Accent1 3 3 2 2 2 3 2" xfId="6821" xr:uid="{00000000-0005-0000-0000-000005200000}"/>
    <cellStyle name="40% - Accent1 3 3 2 2 2 3 3" xfId="22540" xr:uid="{00000000-0005-0000-0000-000006200000}"/>
    <cellStyle name="40% - Accent1 3 3 2 2 2 4" xfId="6822" xr:uid="{00000000-0005-0000-0000-000007200000}"/>
    <cellStyle name="40% - Accent1 3 3 2 2 2 5" xfId="19953" xr:uid="{00000000-0005-0000-0000-000008200000}"/>
    <cellStyle name="40% - Accent1 3 3 2 2 3" xfId="6823" xr:uid="{00000000-0005-0000-0000-000009200000}"/>
    <cellStyle name="40% - Accent1 3 3 2 2 3 2" xfId="6824" xr:uid="{00000000-0005-0000-0000-00000A200000}"/>
    <cellStyle name="40% - Accent1 3 3 2 2 3 2 2" xfId="6825" xr:uid="{00000000-0005-0000-0000-00000B200000}"/>
    <cellStyle name="40% - Accent1 3 3 2 2 3 2 3" xfId="23185" xr:uid="{00000000-0005-0000-0000-00000C200000}"/>
    <cellStyle name="40% - Accent1 3 3 2 2 3 3" xfId="6826" xr:uid="{00000000-0005-0000-0000-00000D200000}"/>
    <cellStyle name="40% - Accent1 3 3 2 2 3 4" xfId="20602" xr:uid="{00000000-0005-0000-0000-00000E200000}"/>
    <cellStyle name="40% - Accent1 3 3 2 2 4" xfId="6827" xr:uid="{00000000-0005-0000-0000-00000F200000}"/>
    <cellStyle name="40% - Accent1 3 3 2 2 4 2" xfId="6828" xr:uid="{00000000-0005-0000-0000-000010200000}"/>
    <cellStyle name="40% - Accent1 3 3 2 2 4 3" xfId="21895" xr:uid="{00000000-0005-0000-0000-000011200000}"/>
    <cellStyle name="40% - Accent1 3 3 2 2 5" xfId="6829" xr:uid="{00000000-0005-0000-0000-000012200000}"/>
    <cellStyle name="40% - Accent1 3 3 2 2 6" xfId="19305" xr:uid="{00000000-0005-0000-0000-000013200000}"/>
    <cellStyle name="40% - Accent1 3 3 2 3" xfId="6830" xr:uid="{00000000-0005-0000-0000-000014200000}"/>
    <cellStyle name="40% - Accent1 3 3 2 3 2" xfId="6831" xr:uid="{00000000-0005-0000-0000-000015200000}"/>
    <cellStyle name="40% - Accent1 3 3 2 3 2 2" xfId="6832" xr:uid="{00000000-0005-0000-0000-000016200000}"/>
    <cellStyle name="40% - Accent1 3 3 2 3 2 2 2" xfId="6833" xr:uid="{00000000-0005-0000-0000-000017200000}"/>
    <cellStyle name="40% - Accent1 3 3 2 3 2 2 3" xfId="23508" xr:uid="{00000000-0005-0000-0000-000018200000}"/>
    <cellStyle name="40% - Accent1 3 3 2 3 2 3" xfId="6834" xr:uid="{00000000-0005-0000-0000-000019200000}"/>
    <cellStyle name="40% - Accent1 3 3 2 3 2 4" xfId="20925" xr:uid="{00000000-0005-0000-0000-00001A200000}"/>
    <cellStyle name="40% - Accent1 3 3 2 3 3" xfId="6835" xr:uid="{00000000-0005-0000-0000-00001B200000}"/>
    <cellStyle name="40% - Accent1 3 3 2 3 3 2" xfId="6836" xr:uid="{00000000-0005-0000-0000-00001C200000}"/>
    <cellStyle name="40% - Accent1 3 3 2 3 3 3" xfId="22218" xr:uid="{00000000-0005-0000-0000-00001D200000}"/>
    <cellStyle name="40% - Accent1 3 3 2 3 4" xfId="6837" xr:uid="{00000000-0005-0000-0000-00001E200000}"/>
    <cellStyle name="40% - Accent1 3 3 2 3 5" xfId="19631" xr:uid="{00000000-0005-0000-0000-00001F200000}"/>
    <cellStyle name="40% - Accent1 3 3 2 4" xfId="6838" xr:uid="{00000000-0005-0000-0000-000020200000}"/>
    <cellStyle name="40% - Accent1 3 3 2 4 2" xfId="6839" xr:uid="{00000000-0005-0000-0000-000021200000}"/>
    <cellStyle name="40% - Accent1 3 3 2 4 2 2" xfId="6840" xr:uid="{00000000-0005-0000-0000-000022200000}"/>
    <cellStyle name="40% - Accent1 3 3 2 4 2 3" xfId="22863" xr:uid="{00000000-0005-0000-0000-000023200000}"/>
    <cellStyle name="40% - Accent1 3 3 2 4 3" xfId="6841" xr:uid="{00000000-0005-0000-0000-000024200000}"/>
    <cellStyle name="40% - Accent1 3 3 2 4 4" xfId="20280" xr:uid="{00000000-0005-0000-0000-000025200000}"/>
    <cellStyle name="40% - Accent1 3 3 2 5" xfId="6842" xr:uid="{00000000-0005-0000-0000-000026200000}"/>
    <cellStyle name="40% - Accent1 3 3 2 5 2" xfId="6843" xr:uid="{00000000-0005-0000-0000-000027200000}"/>
    <cellStyle name="40% - Accent1 3 3 2 5 3" xfId="21573" xr:uid="{00000000-0005-0000-0000-000028200000}"/>
    <cellStyle name="40% - Accent1 3 3 2 6" xfId="6844" xr:uid="{00000000-0005-0000-0000-000029200000}"/>
    <cellStyle name="40% - Accent1 3 3 2 7" xfId="18979" xr:uid="{00000000-0005-0000-0000-00002A200000}"/>
    <cellStyle name="40% - Accent1 3 3 3" xfId="6845" xr:uid="{00000000-0005-0000-0000-00002B200000}"/>
    <cellStyle name="40% - Accent1 3 3 3 2" xfId="6846" xr:uid="{00000000-0005-0000-0000-00002C200000}"/>
    <cellStyle name="40% - Accent1 3 3 3 2 2" xfId="6847" xr:uid="{00000000-0005-0000-0000-00002D200000}"/>
    <cellStyle name="40% - Accent1 3 3 3 2 2 2" xfId="6848" xr:uid="{00000000-0005-0000-0000-00002E200000}"/>
    <cellStyle name="40% - Accent1 3 3 3 2 2 2 2" xfId="6849" xr:uid="{00000000-0005-0000-0000-00002F200000}"/>
    <cellStyle name="40% - Accent1 3 3 3 2 2 2 3" xfId="23669" xr:uid="{00000000-0005-0000-0000-000030200000}"/>
    <cellStyle name="40% - Accent1 3 3 3 2 2 3" xfId="6850" xr:uid="{00000000-0005-0000-0000-000031200000}"/>
    <cellStyle name="40% - Accent1 3 3 3 2 2 4" xfId="21086" xr:uid="{00000000-0005-0000-0000-000032200000}"/>
    <cellStyle name="40% - Accent1 3 3 3 2 3" xfId="6851" xr:uid="{00000000-0005-0000-0000-000033200000}"/>
    <cellStyle name="40% - Accent1 3 3 3 2 3 2" xfId="6852" xr:uid="{00000000-0005-0000-0000-000034200000}"/>
    <cellStyle name="40% - Accent1 3 3 3 2 3 3" xfId="22379" xr:uid="{00000000-0005-0000-0000-000035200000}"/>
    <cellStyle name="40% - Accent1 3 3 3 2 4" xfId="6853" xr:uid="{00000000-0005-0000-0000-000036200000}"/>
    <cellStyle name="40% - Accent1 3 3 3 2 5" xfId="19792" xr:uid="{00000000-0005-0000-0000-000037200000}"/>
    <cellStyle name="40% - Accent1 3 3 3 3" xfId="6854" xr:uid="{00000000-0005-0000-0000-000038200000}"/>
    <cellStyle name="40% - Accent1 3 3 3 3 2" xfId="6855" xr:uid="{00000000-0005-0000-0000-000039200000}"/>
    <cellStyle name="40% - Accent1 3 3 3 3 2 2" xfId="6856" xr:uid="{00000000-0005-0000-0000-00003A200000}"/>
    <cellStyle name="40% - Accent1 3 3 3 3 2 3" xfId="23024" xr:uid="{00000000-0005-0000-0000-00003B200000}"/>
    <cellStyle name="40% - Accent1 3 3 3 3 3" xfId="6857" xr:uid="{00000000-0005-0000-0000-00003C200000}"/>
    <cellStyle name="40% - Accent1 3 3 3 3 4" xfId="20441" xr:uid="{00000000-0005-0000-0000-00003D200000}"/>
    <cellStyle name="40% - Accent1 3 3 3 4" xfId="6858" xr:uid="{00000000-0005-0000-0000-00003E200000}"/>
    <cellStyle name="40% - Accent1 3 3 3 4 2" xfId="6859" xr:uid="{00000000-0005-0000-0000-00003F200000}"/>
    <cellStyle name="40% - Accent1 3 3 3 4 3" xfId="21734" xr:uid="{00000000-0005-0000-0000-000040200000}"/>
    <cellStyle name="40% - Accent1 3 3 3 5" xfId="6860" xr:uid="{00000000-0005-0000-0000-000041200000}"/>
    <cellStyle name="40% - Accent1 3 3 3 6" xfId="19144" xr:uid="{00000000-0005-0000-0000-000042200000}"/>
    <cellStyle name="40% - Accent1 3 3 4" xfId="6861" xr:uid="{00000000-0005-0000-0000-000043200000}"/>
    <cellStyle name="40% - Accent1 3 3 4 2" xfId="6862" xr:uid="{00000000-0005-0000-0000-000044200000}"/>
    <cellStyle name="40% - Accent1 3 3 4 2 2" xfId="6863" xr:uid="{00000000-0005-0000-0000-000045200000}"/>
    <cellStyle name="40% - Accent1 3 3 4 2 2 2" xfId="6864" xr:uid="{00000000-0005-0000-0000-000046200000}"/>
    <cellStyle name="40% - Accent1 3 3 4 2 2 3" xfId="23347" xr:uid="{00000000-0005-0000-0000-000047200000}"/>
    <cellStyle name="40% - Accent1 3 3 4 2 3" xfId="6865" xr:uid="{00000000-0005-0000-0000-000048200000}"/>
    <cellStyle name="40% - Accent1 3 3 4 2 4" xfId="20764" xr:uid="{00000000-0005-0000-0000-000049200000}"/>
    <cellStyle name="40% - Accent1 3 3 4 3" xfId="6866" xr:uid="{00000000-0005-0000-0000-00004A200000}"/>
    <cellStyle name="40% - Accent1 3 3 4 3 2" xfId="6867" xr:uid="{00000000-0005-0000-0000-00004B200000}"/>
    <cellStyle name="40% - Accent1 3 3 4 3 3" xfId="22057" xr:uid="{00000000-0005-0000-0000-00004C200000}"/>
    <cellStyle name="40% - Accent1 3 3 4 4" xfId="6868" xr:uid="{00000000-0005-0000-0000-00004D200000}"/>
    <cellStyle name="40% - Accent1 3 3 4 5" xfId="19470" xr:uid="{00000000-0005-0000-0000-00004E200000}"/>
    <cellStyle name="40% - Accent1 3 3 5" xfId="6869" xr:uid="{00000000-0005-0000-0000-00004F200000}"/>
    <cellStyle name="40% - Accent1 3 3 5 2" xfId="6870" xr:uid="{00000000-0005-0000-0000-000050200000}"/>
    <cellStyle name="40% - Accent1 3 3 5 2 2" xfId="6871" xr:uid="{00000000-0005-0000-0000-000051200000}"/>
    <cellStyle name="40% - Accent1 3 3 5 2 3" xfId="22702" xr:uid="{00000000-0005-0000-0000-000052200000}"/>
    <cellStyle name="40% - Accent1 3 3 5 3" xfId="6872" xr:uid="{00000000-0005-0000-0000-000053200000}"/>
    <cellStyle name="40% - Accent1 3 3 5 4" xfId="20119" xr:uid="{00000000-0005-0000-0000-000054200000}"/>
    <cellStyle name="40% - Accent1 3 3 6" xfId="6873" xr:uid="{00000000-0005-0000-0000-000055200000}"/>
    <cellStyle name="40% - Accent1 3 3 6 2" xfId="6874" xr:uid="{00000000-0005-0000-0000-000056200000}"/>
    <cellStyle name="40% - Accent1 3 3 6 3" xfId="21412" xr:uid="{00000000-0005-0000-0000-000057200000}"/>
    <cellStyle name="40% - Accent1 3 3 7" xfId="6875" xr:uid="{00000000-0005-0000-0000-000058200000}"/>
    <cellStyle name="40% - Accent1 3 3 8" xfId="18812" xr:uid="{00000000-0005-0000-0000-000059200000}"/>
    <cellStyle name="40% - Accent1 3 4" xfId="6876" xr:uid="{00000000-0005-0000-0000-00005A200000}"/>
    <cellStyle name="40% - Accent1 3 4 2" xfId="6877" xr:uid="{00000000-0005-0000-0000-00005B200000}"/>
    <cellStyle name="40% - Accent1 3 4 2 2" xfId="6878" xr:uid="{00000000-0005-0000-0000-00005C200000}"/>
    <cellStyle name="40% - Accent1 3 4 2 2 2" xfId="6879" xr:uid="{00000000-0005-0000-0000-00005D200000}"/>
    <cellStyle name="40% - Accent1 3 4 2 2 2 2" xfId="6880" xr:uid="{00000000-0005-0000-0000-00005E200000}"/>
    <cellStyle name="40% - Accent1 3 4 2 2 2 2 2" xfId="6881" xr:uid="{00000000-0005-0000-0000-00005F200000}"/>
    <cellStyle name="40% - Accent1 3 4 2 2 2 2 3" xfId="23750" xr:uid="{00000000-0005-0000-0000-000060200000}"/>
    <cellStyle name="40% - Accent1 3 4 2 2 2 3" xfId="6882" xr:uid="{00000000-0005-0000-0000-000061200000}"/>
    <cellStyle name="40% - Accent1 3 4 2 2 2 4" xfId="21167" xr:uid="{00000000-0005-0000-0000-000062200000}"/>
    <cellStyle name="40% - Accent1 3 4 2 2 3" xfId="6883" xr:uid="{00000000-0005-0000-0000-000063200000}"/>
    <cellStyle name="40% - Accent1 3 4 2 2 3 2" xfId="6884" xr:uid="{00000000-0005-0000-0000-000064200000}"/>
    <cellStyle name="40% - Accent1 3 4 2 2 3 3" xfId="22460" xr:uid="{00000000-0005-0000-0000-000065200000}"/>
    <cellStyle name="40% - Accent1 3 4 2 2 4" xfId="6885" xr:uid="{00000000-0005-0000-0000-000066200000}"/>
    <cellStyle name="40% - Accent1 3 4 2 2 5" xfId="19873" xr:uid="{00000000-0005-0000-0000-000067200000}"/>
    <cellStyle name="40% - Accent1 3 4 2 3" xfId="6886" xr:uid="{00000000-0005-0000-0000-000068200000}"/>
    <cellStyle name="40% - Accent1 3 4 2 3 2" xfId="6887" xr:uid="{00000000-0005-0000-0000-000069200000}"/>
    <cellStyle name="40% - Accent1 3 4 2 3 2 2" xfId="6888" xr:uid="{00000000-0005-0000-0000-00006A200000}"/>
    <cellStyle name="40% - Accent1 3 4 2 3 2 3" xfId="23105" xr:uid="{00000000-0005-0000-0000-00006B200000}"/>
    <cellStyle name="40% - Accent1 3 4 2 3 3" xfId="6889" xr:uid="{00000000-0005-0000-0000-00006C200000}"/>
    <cellStyle name="40% - Accent1 3 4 2 3 4" xfId="20522" xr:uid="{00000000-0005-0000-0000-00006D200000}"/>
    <cellStyle name="40% - Accent1 3 4 2 4" xfId="6890" xr:uid="{00000000-0005-0000-0000-00006E200000}"/>
    <cellStyle name="40% - Accent1 3 4 2 4 2" xfId="6891" xr:uid="{00000000-0005-0000-0000-00006F200000}"/>
    <cellStyle name="40% - Accent1 3 4 2 4 3" xfId="21815" xr:uid="{00000000-0005-0000-0000-000070200000}"/>
    <cellStyle name="40% - Accent1 3 4 2 5" xfId="6892" xr:uid="{00000000-0005-0000-0000-000071200000}"/>
    <cellStyle name="40% - Accent1 3 4 2 6" xfId="19225" xr:uid="{00000000-0005-0000-0000-000072200000}"/>
    <cellStyle name="40% - Accent1 3 4 3" xfId="6893" xr:uid="{00000000-0005-0000-0000-000073200000}"/>
    <cellStyle name="40% - Accent1 3 4 3 2" xfId="6894" xr:uid="{00000000-0005-0000-0000-000074200000}"/>
    <cellStyle name="40% - Accent1 3 4 3 2 2" xfId="6895" xr:uid="{00000000-0005-0000-0000-000075200000}"/>
    <cellStyle name="40% - Accent1 3 4 3 2 2 2" xfId="6896" xr:uid="{00000000-0005-0000-0000-000076200000}"/>
    <cellStyle name="40% - Accent1 3 4 3 2 2 3" xfId="23428" xr:uid="{00000000-0005-0000-0000-000077200000}"/>
    <cellStyle name="40% - Accent1 3 4 3 2 3" xfId="6897" xr:uid="{00000000-0005-0000-0000-000078200000}"/>
    <cellStyle name="40% - Accent1 3 4 3 2 4" xfId="20845" xr:uid="{00000000-0005-0000-0000-000079200000}"/>
    <cellStyle name="40% - Accent1 3 4 3 3" xfId="6898" xr:uid="{00000000-0005-0000-0000-00007A200000}"/>
    <cellStyle name="40% - Accent1 3 4 3 3 2" xfId="6899" xr:uid="{00000000-0005-0000-0000-00007B200000}"/>
    <cellStyle name="40% - Accent1 3 4 3 3 3" xfId="22138" xr:uid="{00000000-0005-0000-0000-00007C200000}"/>
    <cellStyle name="40% - Accent1 3 4 3 4" xfId="6900" xr:uid="{00000000-0005-0000-0000-00007D200000}"/>
    <cellStyle name="40% - Accent1 3 4 3 5" xfId="19551" xr:uid="{00000000-0005-0000-0000-00007E200000}"/>
    <cellStyle name="40% - Accent1 3 4 4" xfId="6901" xr:uid="{00000000-0005-0000-0000-00007F200000}"/>
    <cellStyle name="40% - Accent1 3 4 4 2" xfId="6902" xr:uid="{00000000-0005-0000-0000-000080200000}"/>
    <cellStyle name="40% - Accent1 3 4 4 2 2" xfId="6903" xr:uid="{00000000-0005-0000-0000-000081200000}"/>
    <cellStyle name="40% - Accent1 3 4 4 2 3" xfId="22783" xr:uid="{00000000-0005-0000-0000-000082200000}"/>
    <cellStyle name="40% - Accent1 3 4 4 3" xfId="6904" xr:uid="{00000000-0005-0000-0000-000083200000}"/>
    <cellStyle name="40% - Accent1 3 4 4 4" xfId="20200" xr:uid="{00000000-0005-0000-0000-000084200000}"/>
    <cellStyle name="40% - Accent1 3 4 5" xfId="6905" xr:uid="{00000000-0005-0000-0000-000085200000}"/>
    <cellStyle name="40% - Accent1 3 4 5 2" xfId="6906" xr:uid="{00000000-0005-0000-0000-000086200000}"/>
    <cellStyle name="40% - Accent1 3 4 5 3" xfId="21493" xr:uid="{00000000-0005-0000-0000-000087200000}"/>
    <cellStyle name="40% - Accent1 3 4 6" xfId="6907" xr:uid="{00000000-0005-0000-0000-000088200000}"/>
    <cellStyle name="40% - Accent1 3 4 7" xfId="18899" xr:uid="{00000000-0005-0000-0000-000089200000}"/>
    <cellStyle name="40% - Accent1 3 5" xfId="6908" xr:uid="{00000000-0005-0000-0000-00008A200000}"/>
    <cellStyle name="40% - Accent1 3 5 2" xfId="6909" xr:uid="{00000000-0005-0000-0000-00008B200000}"/>
    <cellStyle name="40% - Accent1 3 5 2 2" xfId="6910" xr:uid="{00000000-0005-0000-0000-00008C200000}"/>
    <cellStyle name="40% - Accent1 3 5 2 2 2" xfId="6911" xr:uid="{00000000-0005-0000-0000-00008D200000}"/>
    <cellStyle name="40% - Accent1 3 5 2 2 2 2" xfId="6912" xr:uid="{00000000-0005-0000-0000-00008E200000}"/>
    <cellStyle name="40% - Accent1 3 5 2 2 2 3" xfId="23589" xr:uid="{00000000-0005-0000-0000-00008F200000}"/>
    <cellStyle name="40% - Accent1 3 5 2 2 3" xfId="6913" xr:uid="{00000000-0005-0000-0000-000090200000}"/>
    <cellStyle name="40% - Accent1 3 5 2 2 4" xfId="21006" xr:uid="{00000000-0005-0000-0000-000091200000}"/>
    <cellStyle name="40% - Accent1 3 5 2 3" xfId="6914" xr:uid="{00000000-0005-0000-0000-000092200000}"/>
    <cellStyle name="40% - Accent1 3 5 2 3 2" xfId="6915" xr:uid="{00000000-0005-0000-0000-000093200000}"/>
    <cellStyle name="40% - Accent1 3 5 2 3 3" xfId="22299" xr:uid="{00000000-0005-0000-0000-000094200000}"/>
    <cellStyle name="40% - Accent1 3 5 2 4" xfId="6916" xr:uid="{00000000-0005-0000-0000-000095200000}"/>
    <cellStyle name="40% - Accent1 3 5 2 5" xfId="19712" xr:uid="{00000000-0005-0000-0000-000096200000}"/>
    <cellStyle name="40% - Accent1 3 5 3" xfId="6917" xr:uid="{00000000-0005-0000-0000-000097200000}"/>
    <cellStyle name="40% - Accent1 3 5 3 2" xfId="6918" xr:uid="{00000000-0005-0000-0000-000098200000}"/>
    <cellStyle name="40% - Accent1 3 5 3 2 2" xfId="6919" xr:uid="{00000000-0005-0000-0000-000099200000}"/>
    <cellStyle name="40% - Accent1 3 5 3 2 3" xfId="22944" xr:uid="{00000000-0005-0000-0000-00009A200000}"/>
    <cellStyle name="40% - Accent1 3 5 3 3" xfId="6920" xr:uid="{00000000-0005-0000-0000-00009B200000}"/>
    <cellStyle name="40% - Accent1 3 5 3 4" xfId="20361" xr:uid="{00000000-0005-0000-0000-00009C200000}"/>
    <cellStyle name="40% - Accent1 3 5 4" xfId="6921" xr:uid="{00000000-0005-0000-0000-00009D200000}"/>
    <cellStyle name="40% - Accent1 3 5 4 2" xfId="6922" xr:uid="{00000000-0005-0000-0000-00009E200000}"/>
    <cellStyle name="40% - Accent1 3 5 4 3" xfId="21654" xr:uid="{00000000-0005-0000-0000-00009F200000}"/>
    <cellStyle name="40% - Accent1 3 5 5" xfId="6923" xr:uid="{00000000-0005-0000-0000-0000A0200000}"/>
    <cellStyle name="40% - Accent1 3 5 6" xfId="19064" xr:uid="{00000000-0005-0000-0000-0000A1200000}"/>
    <cellStyle name="40% - Accent1 3 6" xfId="6924" xr:uid="{00000000-0005-0000-0000-0000A2200000}"/>
    <cellStyle name="40% - Accent1 3 6 2" xfId="6925" xr:uid="{00000000-0005-0000-0000-0000A3200000}"/>
    <cellStyle name="40% - Accent1 3 6 2 2" xfId="6926" xr:uid="{00000000-0005-0000-0000-0000A4200000}"/>
    <cellStyle name="40% - Accent1 3 6 2 2 2" xfId="6927" xr:uid="{00000000-0005-0000-0000-0000A5200000}"/>
    <cellStyle name="40% - Accent1 3 6 2 2 3" xfId="23266" xr:uid="{00000000-0005-0000-0000-0000A6200000}"/>
    <cellStyle name="40% - Accent1 3 6 2 3" xfId="6928" xr:uid="{00000000-0005-0000-0000-0000A7200000}"/>
    <cellStyle name="40% - Accent1 3 6 2 4" xfId="20683" xr:uid="{00000000-0005-0000-0000-0000A8200000}"/>
    <cellStyle name="40% - Accent1 3 6 3" xfId="6929" xr:uid="{00000000-0005-0000-0000-0000A9200000}"/>
    <cellStyle name="40% - Accent1 3 6 3 2" xfId="6930" xr:uid="{00000000-0005-0000-0000-0000AA200000}"/>
    <cellStyle name="40% - Accent1 3 6 3 3" xfId="21976" xr:uid="{00000000-0005-0000-0000-0000AB200000}"/>
    <cellStyle name="40% - Accent1 3 6 4" xfId="6931" xr:uid="{00000000-0005-0000-0000-0000AC200000}"/>
    <cellStyle name="40% - Accent1 3 6 5" xfId="19390" xr:uid="{00000000-0005-0000-0000-0000AD200000}"/>
    <cellStyle name="40% - Accent1 3 7" xfId="6932" xr:uid="{00000000-0005-0000-0000-0000AE200000}"/>
    <cellStyle name="40% - Accent1 3 7 2" xfId="6933" xr:uid="{00000000-0005-0000-0000-0000AF200000}"/>
    <cellStyle name="40% - Accent1 3 7 2 2" xfId="6934" xr:uid="{00000000-0005-0000-0000-0000B0200000}"/>
    <cellStyle name="40% - Accent1 3 7 2 3" xfId="22621" xr:uid="{00000000-0005-0000-0000-0000B1200000}"/>
    <cellStyle name="40% - Accent1 3 7 3" xfId="6935" xr:uid="{00000000-0005-0000-0000-0000B2200000}"/>
    <cellStyle name="40% - Accent1 3 7 4" xfId="20038" xr:uid="{00000000-0005-0000-0000-0000B3200000}"/>
    <cellStyle name="40% - Accent1 3 8" xfId="6936" xr:uid="{00000000-0005-0000-0000-0000B4200000}"/>
    <cellStyle name="40% - Accent1 3 8 2" xfId="6937" xr:uid="{00000000-0005-0000-0000-0000B5200000}"/>
    <cellStyle name="40% - Accent1 3 8 3" xfId="21331" xr:uid="{00000000-0005-0000-0000-0000B6200000}"/>
    <cellStyle name="40% - Accent1 3 9" xfId="6938" xr:uid="{00000000-0005-0000-0000-0000B7200000}"/>
    <cellStyle name="40% - Accent1 4" xfId="6939" xr:uid="{00000000-0005-0000-0000-0000B8200000}"/>
    <cellStyle name="40% - Accent1 4 2" xfId="6940" xr:uid="{00000000-0005-0000-0000-0000B9200000}"/>
    <cellStyle name="40% - Accent1 4 2 2" xfId="6941" xr:uid="{00000000-0005-0000-0000-0000BA200000}"/>
    <cellStyle name="40% - Accent1 4 2 2 2" xfId="6942" xr:uid="{00000000-0005-0000-0000-0000BB200000}"/>
    <cellStyle name="40% - Accent1 4 2 2 2 2" xfId="6943" xr:uid="{00000000-0005-0000-0000-0000BC200000}"/>
    <cellStyle name="40% - Accent1 4 2 2 2 2 2" xfId="6944" xr:uid="{00000000-0005-0000-0000-0000BD200000}"/>
    <cellStyle name="40% - Accent1 4 2 2 2 2 2 2" xfId="6945" xr:uid="{00000000-0005-0000-0000-0000BE200000}"/>
    <cellStyle name="40% - Accent1 4 2 2 2 2 2 2 2" xfId="6946" xr:uid="{00000000-0005-0000-0000-0000BF200000}"/>
    <cellStyle name="40% - Accent1 4 2 2 2 2 2 2 3" xfId="23850" xr:uid="{00000000-0005-0000-0000-0000C0200000}"/>
    <cellStyle name="40% - Accent1 4 2 2 2 2 2 3" xfId="6947" xr:uid="{00000000-0005-0000-0000-0000C1200000}"/>
    <cellStyle name="40% - Accent1 4 2 2 2 2 2 4" xfId="21267" xr:uid="{00000000-0005-0000-0000-0000C2200000}"/>
    <cellStyle name="40% - Accent1 4 2 2 2 2 3" xfId="6948" xr:uid="{00000000-0005-0000-0000-0000C3200000}"/>
    <cellStyle name="40% - Accent1 4 2 2 2 2 3 2" xfId="6949" xr:uid="{00000000-0005-0000-0000-0000C4200000}"/>
    <cellStyle name="40% - Accent1 4 2 2 2 2 3 3" xfId="22560" xr:uid="{00000000-0005-0000-0000-0000C5200000}"/>
    <cellStyle name="40% - Accent1 4 2 2 2 2 4" xfId="6950" xr:uid="{00000000-0005-0000-0000-0000C6200000}"/>
    <cellStyle name="40% - Accent1 4 2 2 2 2 5" xfId="19973" xr:uid="{00000000-0005-0000-0000-0000C7200000}"/>
    <cellStyle name="40% - Accent1 4 2 2 2 3" xfId="6951" xr:uid="{00000000-0005-0000-0000-0000C8200000}"/>
    <cellStyle name="40% - Accent1 4 2 2 2 3 2" xfId="6952" xr:uid="{00000000-0005-0000-0000-0000C9200000}"/>
    <cellStyle name="40% - Accent1 4 2 2 2 3 2 2" xfId="6953" xr:uid="{00000000-0005-0000-0000-0000CA200000}"/>
    <cellStyle name="40% - Accent1 4 2 2 2 3 2 3" xfId="23205" xr:uid="{00000000-0005-0000-0000-0000CB200000}"/>
    <cellStyle name="40% - Accent1 4 2 2 2 3 3" xfId="6954" xr:uid="{00000000-0005-0000-0000-0000CC200000}"/>
    <cellStyle name="40% - Accent1 4 2 2 2 3 4" xfId="20622" xr:uid="{00000000-0005-0000-0000-0000CD200000}"/>
    <cellStyle name="40% - Accent1 4 2 2 2 4" xfId="6955" xr:uid="{00000000-0005-0000-0000-0000CE200000}"/>
    <cellStyle name="40% - Accent1 4 2 2 2 4 2" xfId="6956" xr:uid="{00000000-0005-0000-0000-0000CF200000}"/>
    <cellStyle name="40% - Accent1 4 2 2 2 4 3" xfId="21915" xr:uid="{00000000-0005-0000-0000-0000D0200000}"/>
    <cellStyle name="40% - Accent1 4 2 2 2 5" xfId="6957" xr:uid="{00000000-0005-0000-0000-0000D1200000}"/>
    <cellStyle name="40% - Accent1 4 2 2 2 6" xfId="19325" xr:uid="{00000000-0005-0000-0000-0000D2200000}"/>
    <cellStyle name="40% - Accent1 4 2 2 3" xfId="6958" xr:uid="{00000000-0005-0000-0000-0000D3200000}"/>
    <cellStyle name="40% - Accent1 4 2 2 3 2" xfId="6959" xr:uid="{00000000-0005-0000-0000-0000D4200000}"/>
    <cellStyle name="40% - Accent1 4 2 2 3 2 2" xfId="6960" xr:uid="{00000000-0005-0000-0000-0000D5200000}"/>
    <cellStyle name="40% - Accent1 4 2 2 3 2 2 2" xfId="6961" xr:uid="{00000000-0005-0000-0000-0000D6200000}"/>
    <cellStyle name="40% - Accent1 4 2 2 3 2 2 3" xfId="23528" xr:uid="{00000000-0005-0000-0000-0000D7200000}"/>
    <cellStyle name="40% - Accent1 4 2 2 3 2 3" xfId="6962" xr:uid="{00000000-0005-0000-0000-0000D8200000}"/>
    <cellStyle name="40% - Accent1 4 2 2 3 2 4" xfId="20945" xr:uid="{00000000-0005-0000-0000-0000D9200000}"/>
    <cellStyle name="40% - Accent1 4 2 2 3 3" xfId="6963" xr:uid="{00000000-0005-0000-0000-0000DA200000}"/>
    <cellStyle name="40% - Accent1 4 2 2 3 3 2" xfId="6964" xr:uid="{00000000-0005-0000-0000-0000DB200000}"/>
    <cellStyle name="40% - Accent1 4 2 2 3 3 3" xfId="22238" xr:uid="{00000000-0005-0000-0000-0000DC200000}"/>
    <cellStyle name="40% - Accent1 4 2 2 3 4" xfId="6965" xr:uid="{00000000-0005-0000-0000-0000DD200000}"/>
    <cellStyle name="40% - Accent1 4 2 2 3 5" xfId="19651" xr:uid="{00000000-0005-0000-0000-0000DE200000}"/>
    <cellStyle name="40% - Accent1 4 2 2 4" xfId="6966" xr:uid="{00000000-0005-0000-0000-0000DF200000}"/>
    <cellStyle name="40% - Accent1 4 2 2 4 2" xfId="6967" xr:uid="{00000000-0005-0000-0000-0000E0200000}"/>
    <cellStyle name="40% - Accent1 4 2 2 4 2 2" xfId="6968" xr:uid="{00000000-0005-0000-0000-0000E1200000}"/>
    <cellStyle name="40% - Accent1 4 2 2 4 2 3" xfId="22883" xr:uid="{00000000-0005-0000-0000-0000E2200000}"/>
    <cellStyle name="40% - Accent1 4 2 2 4 3" xfId="6969" xr:uid="{00000000-0005-0000-0000-0000E3200000}"/>
    <cellStyle name="40% - Accent1 4 2 2 4 4" xfId="20300" xr:uid="{00000000-0005-0000-0000-0000E4200000}"/>
    <cellStyle name="40% - Accent1 4 2 2 5" xfId="6970" xr:uid="{00000000-0005-0000-0000-0000E5200000}"/>
    <cellStyle name="40% - Accent1 4 2 2 5 2" xfId="6971" xr:uid="{00000000-0005-0000-0000-0000E6200000}"/>
    <cellStyle name="40% - Accent1 4 2 2 5 3" xfId="21593" xr:uid="{00000000-0005-0000-0000-0000E7200000}"/>
    <cellStyle name="40% - Accent1 4 2 2 6" xfId="6972" xr:uid="{00000000-0005-0000-0000-0000E8200000}"/>
    <cellStyle name="40% - Accent1 4 2 2 7" xfId="18999" xr:uid="{00000000-0005-0000-0000-0000E9200000}"/>
    <cellStyle name="40% - Accent1 4 2 3" xfId="6973" xr:uid="{00000000-0005-0000-0000-0000EA200000}"/>
    <cellStyle name="40% - Accent1 4 2 3 2" xfId="6974" xr:uid="{00000000-0005-0000-0000-0000EB200000}"/>
    <cellStyle name="40% - Accent1 4 2 3 2 2" xfId="6975" xr:uid="{00000000-0005-0000-0000-0000EC200000}"/>
    <cellStyle name="40% - Accent1 4 2 3 2 2 2" xfId="6976" xr:uid="{00000000-0005-0000-0000-0000ED200000}"/>
    <cellStyle name="40% - Accent1 4 2 3 2 2 2 2" xfId="6977" xr:uid="{00000000-0005-0000-0000-0000EE200000}"/>
    <cellStyle name="40% - Accent1 4 2 3 2 2 2 3" xfId="23689" xr:uid="{00000000-0005-0000-0000-0000EF200000}"/>
    <cellStyle name="40% - Accent1 4 2 3 2 2 3" xfId="6978" xr:uid="{00000000-0005-0000-0000-0000F0200000}"/>
    <cellStyle name="40% - Accent1 4 2 3 2 2 4" xfId="21106" xr:uid="{00000000-0005-0000-0000-0000F1200000}"/>
    <cellStyle name="40% - Accent1 4 2 3 2 3" xfId="6979" xr:uid="{00000000-0005-0000-0000-0000F2200000}"/>
    <cellStyle name="40% - Accent1 4 2 3 2 3 2" xfId="6980" xr:uid="{00000000-0005-0000-0000-0000F3200000}"/>
    <cellStyle name="40% - Accent1 4 2 3 2 3 3" xfId="22399" xr:uid="{00000000-0005-0000-0000-0000F4200000}"/>
    <cellStyle name="40% - Accent1 4 2 3 2 4" xfId="6981" xr:uid="{00000000-0005-0000-0000-0000F5200000}"/>
    <cellStyle name="40% - Accent1 4 2 3 2 5" xfId="19812" xr:uid="{00000000-0005-0000-0000-0000F6200000}"/>
    <cellStyle name="40% - Accent1 4 2 3 3" xfId="6982" xr:uid="{00000000-0005-0000-0000-0000F7200000}"/>
    <cellStyle name="40% - Accent1 4 2 3 3 2" xfId="6983" xr:uid="{00000000-0005-0000-0000-0000F8200000}"/>
    <cellStyle name="40% - Accent1 4 2 3 3 2 2" xfId="6984" xr:uid="{00000000-0005-0000-0000-0000F9200000}"/>
    <cellStyle name="40% - Accent1 4 2 3 3 2 3" xfId="23044" xr:uid="{00000000-0005-0000-0000-0000FA200000}"/>
    <cellStyle name="40% - Accent1 4 2 3 3 3" xfId="6985" xr:uid="{00000000-0005-0000-0000-0000FB200000}"/>
    <cellStyle name="40% - Accent1 4 2 3 3 4" xfId="20461" xr:uid="{00000000-0005-0000-0000-0000FC200000}"/>
    <cellStyle name="40% - Accent1 4 2 3 4" xfId="6986" xr:uid="{00000000-0005-0000-0000-0000FD200000}"/>
    <cellStyle name="40% - Accent1 4 2 3 4 2" xfId="6987" xr:uid="{00000000-0005-0000-0000-0000FE200000}"/>
    <cellStyle name="40% - Accent1 4 2 3 4 3" xfId="21754" xr:uid="{00000000-0005-0000-0000-0000FF200000}"/>
    <cellStyle name="40% - Accent1 4 2 3 5" xfId="6988" xr:uid="{00000000-0005-0000-0000-000000210000}"/>
    <cellStyle name="40% - Accent1 4 2 3 6" xfId="19164" xr:uid="{00000000-0005-0000-0000-000001210000}"/>
    <cellStyle name="40% - Accent1 4 2 4" xfId="6989" xr:uid="{00000000-0005-0000-0000-000002210000}"/>
    <cellStyle name="40% - Accent1 4 2 4 2" xfId="6990" xr:uid="{00000000-0005-0000-0000-000003210000}"/>
    <cellStyle name="40% - Accent1 4 2 4 2 2" xfId="6991" xr:uid="{00000000-0005-0000-0000-000004210000}"/>
    <cellStyle name="40% - Accent1 4 2 4 2 2 2" xfId="6992" xr:uid="{00000000-0005-0000-0000-000005210000}"/>
    <cellStyle name="40% - Accent1 4 2 4 2 2 3" xfId="23367" xr:uid="{00000000-0005-0000-0000-000006210000}"/>
    <cellStyle name="40% - Accent1 4 2 4 2 3" xfId="6993" xr:uid="{00000000-0005-0000-0000-000007210000}"/>
    <cellStyle name="40% - Accent1 4 2 4 2 4" xfId="20784" xr:uid="{00000000-0005-0000-0000-000008210000}"/>
    <cellStyle name="40% - Accent1 4 2 4 3" xfId="6994" xr:uid="{00000000-0005-0000-0000-000009210000}"/>
    <cellStyle name="40% - Accent1 4 2 4 3 2" xfId="6995" xr:uid="{00000000-0005-0000-0000-00000A210000}"/>
    <cellStyle name="40% - Accent1 4 2 4 3 3" xfId="22077" xr:uid="{00000000-0005-0000-0000-00000B210000}"/>
    <cellStyle name="40% - Accent1 4 2 4 4" xfId="6996" xr:uid="{00000000-0005-0000-0000-00000C210000}"/>
    <cellStyle name="40% - Accent1 4 2 4 5" xfId="19490" xr:uid="{00000000-0005-0000-0000-00000D210000}"/>
    <cellStyle name="40% - Accent1 4 2 5" xfId="6997" xr:uid="{00000000-0005-0000-0000-00000E210000}"/>
    <cellStyle name="40% - Accent1 4 2 5 2" xfId="6998" xr:uid="{00000000-0005-0000-0000-00000F210000}"/>
    <cellStyle name="40% - Accent1 4 2 5 2 2" xfId="6999" xr:uid="{00000000-0005-0000-0000-000010210000}"/>
    <cellStyle name="40% - Accent1 4 2 5 2 3" xfId="22722" xr:uid="{00000000-0005-0000-0000-000011210000}"/>
    <cellStyle name="40% - Accent1 4 2 5 3" xfId="7000" xr:uid="{00000000-0005-0000-0000-000012210000}"/>
    <cellStyle name="40% - Accent1 4 2 5 4" xfId="20139" xr:uid="{00000000-0005-0000-0000-000013210000}"/>
    <cellStyle name="40% - Accent1 4 2 6" xfId="7001" xr:uid="{00000000-0005-0000-0000-000014210000}"/>
    <cellStyle name="40% - Accent1 4 2 6 2" xfId="7002" xr:uid="{00000000-0005-0000-0000-000015210000}"/>
    <cellStyle name="40% - Accent1 4 2 6 3" xfId="21432" xr:uid="{00000000-0005-0000-0000-000016210000}"/>
    <cellStyle name="40% - Accent1 4 2 7" xfId="7003" xr:uid="{00000000-0005-0000-0000-000017210000}"/>
    <cellStyle name="40% - Accent1 4 2 8" xfId="18833" xr:uid="{00000000-0005-0000-0000-000018210000}"/>
    <cellStyle name="40% - Accent1 4 3" xfId="7004" xr:uid="{00000000-0005-0000-0000-000019210000}"/>
    <cellStyle name="40% - Accent1 4 3 2" xfId="7005" xr:uid="{00000000-0005-0000-0000-00001A210000}"/>
    <cellStyle name="40% - Accent1 4 3 2 2" xfId="7006" xr:uid="{00000000-0005-0000-0000-00001B210000}"/>
    <cellStyle name="40% - Accent1 4 3 2 2 2" xfId="7007" xr:uid="{00000000-0005-0000-0000-00001C210000}"/>
    <cellStyle name="40% - Accent1 4 3 2 2 2 2" xfId="7008" xr:uid="{00000000-0005-0000-0000-00001D210000}"/>
    <cellStyle name="40% - Accent1 4 3 2 2 2 2 2" xfId="7009" xr:uid="{00000000-0005-0000-0000-00001E210000}"/>
    <cellStyle name="40% - Accent1 4 3 2 2 2 2 3" xfId="23770" xr:uid="{00000000-0005-0000-0000-00001F210000}"/>
    <cellStyle name="40% - Accent1 4 3 2 2 2 3" xfId="7010" xr:uid="{00000000-0005-0000-0000-000020210000}"/>
    <cellStyle name="40% - Accent1 4 3 2 2 2 4" xfId="21187" xr:uid="{00000000-0005-0000-0000-000021210000}"/>
    <cellStyle name="40% - Accent1 4 3 2 2 3" xfId="7011" xr:uid="{00000000-0005-0000-0000-000022210000}"/>
    <cellStyle name="40% - Accent1 4 3 2 2 3 2" xfId="7012" xr:uid="{00000000-0005-0000-0000-000023210000}"/>
    <cellStyle name="40% - Accent1 4 3 2 2 3 3" xfId="22480" xr:uid="{00000000-0005-0000-0000-000024210000}"/>
    <cellStyle name="40% - Accent1 4 3 2 2 4" xfId="7013" xr:uid="{00000000-0005-0000-0000-000025210000}"/>
    <cellStyle name="40% - Accent1 4 3 2 2 5" xfId="19893" xr:uid="{00000000-0005-0000-0000-000026210000}"/>
    <cellStyle name="40% - Accent1 4 3 2 3" xfId="7014" xr:uid="{00000000-0005-0000-0000-000027210000}"/>
    <cellStyle name="40% - Accent1 4 3 2 3 2" xfId="7015" xr:uid="{00000000-0005-0000-0000-000028210000}"/>
    <cellStyle name="40% - Accent1 4 3 2 3 2 2" xfId="7016" xr:uid="{00000000-0005-0000-0000-000029210000}"/>
    <cellStyle name="40% - Accent1 4 3 2 3 2 3" xfId="23125" xr:uid="{00000000-0005-0000-0000-00002A210000}"/>
    <cellStyle name="40% - Accent1 4 3 2 3 3" xfId="7017" xr:uid="{00000000-0005-0000-0000-00002B210000}"/>
    <cellStyle name="40% - Accent1 4 3 2 3 4" xfId="20542" xr:uid="{00000000-0005-0000-0000-00002C210000}"/>
    <cellStyle name="40% - Accent1 4 3 2 4" xfId="7018" xr:uid="{00000000-0005-0000-0000-00002D210000}"/>
    <cellStyle name="40% - Accent1 4 3 2 4 2" xfId="7019" xr:uid="{00000000-0005-0000-0000-00002E210000}"/>
    <cellStyle name="40% - Accent1 4 3 2 4 3" xfId="21835" xr:uid="{00000000-0005-0000-0000-00002F210000}"/>
    <cellStyle name="40% - Accent1 4 3 2 5" xfId="7020" xr:uid="{00000000-0005-0000-0000-000030210000}"/>
    <cellStyle name="40% - Accent1 4 3 2 6" xfId="19245" xr:uid="{00000000-0005-0000-0000-000031210000}"/>
    <cellStyle name="40% - Accent1 4 3 3" xfId="7021" xr:uid="{00000000-0005-0000-0000-000032210000}"/>
    <cellStyle name="40% - Accent1 4 3 3 2" xfId="7022" xr:uid="{00000000-0005-0000-0000-000033210000}"/>
    <cellStyle name="40% - Accent1 4 3 3 2 2" xfId="7023" xr:uid="{00000000-0005-0000-0000-000034210000}"/>
    <cellStyle name="40% - Accent1 4 3 3 2 2 2" xfId="7024" xr:uid="{00000000-0005-0000-0000-000035210000}"/>
    <cellStyle name="40% - Accent1 4 3 3 2 2 3" xfId="23448" xr:uid="{00000000-0005-0000-0000-000036210000}"/>
    <cellStyle name="40% - Accent1 4 3 3 2 3" xfId="7025" xr:uid="{00000000-0005-0000-0000-000037210000}"/>
    <cellStyle name="40% - Accent1 4 3 3 2 4" xfId="20865" xr:uid="{00000000-0005-0000-0000-000038210000}"/>
    <cellStyle name="40% - Accent1 4 3 3 3" xfId="7026" xr:uid="{00000000-0005-0000-0000-000039210000}"/>
    <cellStyle name="40% - Accent1 4 3 3 3 2" xfId="7027" xr:uid="{00000000-0005-0000-0000-00003A210000}"/>
    <cellStyle name="40% - Accent1 4 3 3 3 3" xfId="22158" xr:uid="{00000000-0005-0000-0000-00003B210000}"/>
    <cellStyle name="40% - Accent1 4 3 3 4" xfId="7028" xr:uid="{00000000-0005-0000-0000-00003C210000}"/>
    <cellStyle name="40% - Accent1 4 3 3 5" xfId="19571" xr:uid="{00000000-0005-0000-0000-00003D210000}"/>
    <cellStyle name="40% - Accent1 4 3 4" xfId="7029" xr:uid="{00000000-0005-0000-0000-00003E210000}"/>
    <cellStyle name="40% - Accent1 4 3 4 2" xfId="7030" xr:uid="{00000000-0005-0000-0000-00003F210000}"/>
    <cellStyle name="40% - Accent1 4 3 4 2 2" xfId="7031" xr:uid="{00000000-0005-0000-0000-000040210000}"/>
    <cellStyle name="40% - Accent1 4 3 4 2 3" xfId="22803" xr:uid="{00000000-0005-0000-0000-000041210000}"/>
    <cellStyle name="40% - Accent1 4 3 4 3" xfId="7032" xr:uid="{00000000-0005-0000-0000-000042210000}"/>
    <cellStyle name="40% - Accent1 4 3 4 4" xfId="20220" xr:uid="{00000000-0005-0000-0000-000043210000}"/>
    <cellStyle name="40% - Accent1 4 3 5" xfId="7033" xr:uid="{00000000-0005-0000-0000-000044210000}"/>
    <cellStyle name="40% - Accent1 4 3 5 2" xfId="7034" xr:uid="{00000000-0005-0000-0000-000045210000}"/>
    <cellStyle name="40% - Accent1 4 3 5 3" xfId="21513" xr:uid="{00000000-0005-0000-0000-000046210000}"/>
    <cellStyle name="40% - Accent1 4 3 6" xfId="7035" xr:uid="{00000000-0005-0000-0000-000047210000}"/>
    <cellStyle name="40% - Accent1 4 3 7" xfId="18919" xr:uid="{00000000-0005-0000-0000-000048210000}"/>
    <cellStyle name="40% - Accent1 4 4" xfId="7036" xr:uid="{00000000-0005-0000-0000-000049210000}"/>
    <cellStyle name="40% - Accent1 4 4 2" xfId="7037" xr:uid="{00000000-0005-0000-0000-00004A210000}"/>
    <cellStyle name="40% - Accent1 4 4 2 2" xfId="7038" xr:uid="{00000000-0005-0000-0000-00004B210000}"/>
    <cellStyle name="40% - Accent1 4 4 2 2 2" xfId="7039" xr:uid="{00000000-0005-0000-0000-00004C210000}"/>
    <cellStyle name="40% - Accent1 4 4 2 2 2 2" xfId="7040" xr:uid="{00000000-0005-0000-0000-00004D210000}"/>
    <cellStyle name="40% - Accent1 4 4 2 2 2 3" xfId="23609" xr:uid="{00000000-0005-0000-0000-00004E210000}"/>
    <cellStyle name="40% - Accent1 4 4 2 2 3" xfId="7041" xr:uid="{00000000-0005-0000-0000-00004F210000}"/>
    <cellStyle name="40% - Accent1 4 4 2 2 4" xfId="21026" xr:uid="{00000000-0005-0000-0000-000050210000}"/>
    <cellStyle name="40% - Accent1 4 4 2 3" xfId="7042" xr:uid="{00000000-0005-0000-0000-000051210000}"/>
    <cellStyle name="40% - Accent1 4 4 2 3 2" xfId="7043" xr:uid="{00000000-0005-0000-0000-000052210000}"/>
    <cellStyle name="40% - Accent1 4 4 2 3 3" xfId="22319" xr:uid="{00000000-0005-0000-0000-000053210000}"/>
    <cellStyle name="40% - Accent1 4 4 2 4" xfId="7044" xr:uid="{00000000-0005-0000-0000-000054210000}"/>
    <cellStyle name="40% - Accent1 4 4 2 5" xfId="19732" xr:uid="{00000000-0005-0000-0000-000055210000}"/>
    <cellStyle name="40% - Accent1 4 4 3" xfId="7045" xr:uid="{00000000-0005-0000-0000-000056210000}"/>
    <cellStyle name="40% - Accent1 4 4 3 2" xfId="7046" xr:uid="{00000000-0005-0000-0000-000057210000}"/>
    <cellStyle name="40% - Accent1 4 4 3 2 2" xfId="7047" xr:uid="{00000000-0005-0000-0000-000058210000}"/>
    <cellStyle name="40% - Accent1 4 4 3 2 3" xfId="22964" xr:uid="{00000000-0005-0000-0000-000059210000}"/>
    <cellStyle name="40% - Accent1 4 4 3 3" xfId="7048" xr:uid="{00000000-0005-0000-0000-00005A210000}"/>
    <cellStyle name="40% - Accent1 4 4 3 4" xfId="20381" xr:uid="{00000000-0005-0000-0000-00005B210000}"/>
    <cellStyle name="40% - Accent1 4 4 4" xfId="7049" xr:uid="{00000000-0005-0000-0000-00005C210000}"/>
    <cellStyle name="40% - Accent1 4 4 4 2" xfId="7050" xr:uid="{00000000-0005-0000-0000-00005D210000}"/>
    <cellStyle name="40% - Accent1 4 4 4 3" xfId="21674" xr:uid="{00000000-0005-0000-0000-00005E210000}"/>
    <cellStyle name="40% - Accent1 4 4 5" xfId="7051" xr:uid="{00000000-0005-0000-0000-00005F210000}"/>
    <cellStyle name="40% - Accent1 4 4 6" xfId="19084" xr:uid="{00000000-0005-0000-0000-000060210000}"/>
    <cellStyle name="40% - Accent1 4 5" xfId="7052" xr:uid="{00000000-0005-0000-0000-000061210000}"/>
    <cellStyle name="40% - Accent1 4 5 2" xfId="7053" xr:uid="{00000000-0005-0000-0000-000062210000}"/>
    <cellStyle name="40% - Accent1 4 5 2 2" xfId="7054" xr:uid="{00000000-0005-0000-0000-000063210000}"/>
    <cellStyle name="40% - Accent1 4 5 2 2 2" xfId="7055" xr:uid="{00000000-0005-0000-0000-000064210000}"/>
    <cellStyle name="40% - Accent1 4 5 2 2 3" xfId="23286" xr:uid="{00000000-0005-0000-0000-000065210000}"/>
    <cellStyle name="40% - Accent1 4 5 2 3" xfId="7056" xr:uid="{00000000-0005-0000-0000-000066210000}"/>
    <cellStyle name="40% - Accent1 4 5 2 4" xfId="20703" xr:uid="{00000000-0005-0000-0000-000067210000}"/>
    <cellStyle name="40% - Accent1 4 5 3" xfId="7057" xr:uid="{00000000-0005-0000-0000-000068210000}"/>
    <cellStyle name="40% - Accent1 4 5 3 2" xfId="7058" xr:uid="{00000000-0005-0000-0000-000069210000}"/>
    <cellStyle name="40% - Accent1 4 5 3 3" xfId="21996" xr:uid="{00000000-0005-0000-0000-00006A210000}"/>
    <cellStyle name="40% - Accent1 4 5 4" xfId="7059" xr:uid="{00000000-0005-0000-0000-00006B210000}"/>
    <cellStyle name="40% - Accent1 4 5 5" xfId="19410" xr:uid="{00000000-0005-0000-0000-00006C210000}"/>
    <cellStyle name="40% - Accent1 4 6" xfId="7060" xr:uid="{00000000-0005-0000-0000-00006D210000}"/>
    <cellStyle name="40% - Accent1 4 6 2" xfId="7061" xr:uid="{00000000-0005-0000-0000-00006E210000}"/>
    <cellStyle name="40% - Accent1 4 6 2 2" xfId="7062" xr:uid="{00000000-0005-0000-0000-00006F210000}"/>
    <cellStyle name="40% - Accent1 4 6 2 3" xfId="22641" xr:uid="{00000000-0005-0000-0000-000070210000}"/>
    <cellStyle name="40% - Accent1 4 6 3" xfId="7063" xr:uid="{00000000-0005-0000-0000-000071210000}"/>
    <cellStyle name="40% - Accent1 4 6 4" xfId="20058" xr:uid="{00000000-0005-0000-0000-000072210000}"/>
    <cellStyle name="40% - Accent1 4 7" xfId="7064" xr:uid="{00000000-0005-0000-0000-000073210000}"/>
    <cellStyle name="40% - Accent1 4 7 2" xfId="7065" xr:uid="{00000000-0005-0000-0000-000074210000}"/>
    <cellStyle name="40% - Accent1 4 7 3" xfId="21351" xr:uid="{00000000-0005-0000-0000-000075210000}"/>
    <cellStyle name="40% - Accent1 4 8" xfId="7066" xr:uid="{00000000-0005-0000-0000-000076210000}"/>
    <cellStyle name="40% - Accent1 4 9" xfId="18733" xr:uid="{00000000-0005-0000-0000-000077210000}"/>
    <cellStyle name="40% - Accent1 5" xfId="7067" xr:uid="{00000000-0005-0000-0000-000078210000}"/>
    <cellStyle name="40% - Accent1 5 2" xfId="7068" xr:uid="{00000000-0005-0000-0000-000079210000}"/>
    <cellStyle name="40% - Accent1 5 2 2" xfId="7069" xr:uid="{00000000-0005-0000-0000-00007A210000}"/>
    <cellStyle name="40% - Accent1 5 2 2 2" xfId="7070" xr:uid="{00000000-0005-0000-0000-00007B210000}"/>
    <cellStyle name="40% - Accent1 5 2 2 2 2" xfId="7071" xr:uid="{00000000-0005-0000-0000-00007C210000}"/>
    <cellStyle name="40% - Accent1 5 2 2 2 2 2" xfId="7072" xr:uid="{00000000-0005-0000-0000-00007D210000}"/>
    <cellStyle name="40% - Accent1 5 2 2 2 2 2 2" xfId="7073" xr:uid="{00000000-0005-0000-0000-00007E210000}"/>
    <cellStyle name="40% - Accent1 5 2 2 2 2 2 3" xfId="23810" xr:uid="{00000000-0005-0000-0000-00007F210000}"/>
    <cellStyle name="40% - Accent1 5 2 2 2 2 3" xfId="7074" xr:uid="{00000000-0005-0000-0000-000080210000}"/>
    <cellStyle name="40% - Accent1 5 2 2 2 2 4" xfId="21227" xr:uid="{00000000-0005-0000-0000-000081210000}"/>
    <cellStyle name="40% - Accent1 5 2 2 2 3" xfId="7075" xr:uid="{00000000-0005-0000-0000-000082210000}"/>
    <cellStyle name="40% - Accent1 5 2 2 2 3 2" xfId="7076" xr:uid="{00000000-0005-0000-0000-000083210000}"/>
    <cellStyle name="40% - Accent1 5 2 2 2 3 3" xfId="22520" xr:uid="{00000000-0005-0000-0000-000084210000}"/>
    <cellStyle name="40% - Accent1 5 2 2 2 4" xfId="7077" xr:uid="{00000000-0005-0000-0000-000085210000}"/>
    <cellStyle name="40% - Accent1 5 2 2 2 5" xfId="19933" xr:uid="{00000000-0005-0000-0000-000086210000}"/>
    <cellStyle name="40% - Accent1 5 2 2 3" xfId="7078" xr:uid="{00000000-0005-0000-0000-000087210000}"/>
    <cellStyle name="40% - Accent1 5 2 2 3 2" xfId="7079" xr:uid="{00000000-0005-0000-0000-000088210000}"/>
    <cellStyle name="40% - Accent1 5 2 2 3 2 2" xfId="7080" xr:uid="{00000000-0005-0000-0000-000089210000}"/>
    <cellStyle name="40% - Accent1 5 2 2 3 2 3" xfId="23165" xr:uid="{00000000-0005-0000-0000-00008A210000}"/>
    <cellStyle name="40% - Accent1 5 2 2 3 3" xfId="7081" xr:uid="{00000000-0005-0000-0000-00008B210000}"/>
    <cellStyle name="40% - Accent1 5 2 2 3 4" xfId="20582" xr:uid="{00000000-0005-0000-0000-00008C210000}"/>
    <cellStyle name="40% - Accent1 5 2 2 4" xfId="7082" xr:uid="{00000000-0005-0000-0000-00008D210000}"/>
    <cellStyle name="40% - Accent1 5 2 2 4 2" xfId="7083" xr:uid="{00000000-0005-0000-0000-00008E210000}"/>
    <cellStyle name="40% - Accent1 5 2 2 4 3" xfId="21875" xr:uid="{00000000-0005-0000-0000-00008F210000}"/>
    <cellStyle name="40% - Accent1 5 2 2 5" xfId="7084" xr:uid="{00000000-0005-0000-0000-000090210000}"/>
    <cellStyle name="40% - Accent1 5 2 2 6" xfId="19285" xr:uid="{00000000-0005-0000-0000-000091210000}"/>
    <cellStyle name="40% - Accent1 5 2 3" xfId="7085" xr:uid="{00000000-0005-0000-0000-000092210000}"/>
    <cellStyle name="40% - Accent1 5 2 3 2" xfId="7086" xr:uid="{00000000-0005-0000-0000-000093210000}"/>
    <cellStyle name="40% - Accent1 5 2 3 2 2" xfId="7087" xr:uid="{00000000-0005-0000-0000-000094210000}"/>
    <cellStyle name="40% - Accent1 5 2 3 2 2 2" xfId="7088" xr:uid="{00000000-0005-0000-0000-000095210000}"/>
    <cellStyle name="40% - Accent1 5 2 3 2 2 3" xfId="23488" xr:uid="{00000000-0005-0000-0000-000096210000}"/>
    <cellStyle name="40% - Accent1 5 2 3 2 3" xfId="7089" xr:uid="{00000000-0005-0000-0000-000097210000}"/>
    <cellStyle name="40% - Accent1 5 2 3 2 4" xfId="20905" xr:uid="{00000000-0005-0000-0000-000098210000}"/>
    <cellStyle name="40% - Accent1 5 2 3 3" xfId="7090" xr:uid="{00000000-0005-0000-0000-000099210000}"/>
    <cellStyle name="40% - Accent1 5 2 3 3 2" xfId="7091" xr:uid="{00000000-0005-0000-0000-00009A210000}"/>
    <cellStyle name="40% - Accent1 5 2 3 3 3" xfId="22198" xr:uid="{00000000-0005-0000-0000-00009B210000}"/>
    <cellStyle name="40% - Accent1 5 2 3 4" xfId="7092" xr:uid="{00000000-0005-0000-0000-00009C210000}"/>
    <cellStyle name="40% - Accent1 5 2 3 5" xfId="19611" xr:uid="{00000000-0005-0000-0000-00009D210000}"/>
    <cellStyle name="40% - Accent1 5 2 4" xfId="7093" xr:uid="{00000000-0005-0000-0000-00009E210000}"/>
    <cellStyle name="40% - Accent1 5 2 4 2" xfId="7094" xr:uid="{00000000-0005-0000-0000-00009F210000}"/>
    <cellStyle name="40% - Accent1 5 2 4 2 2" xfId="7095" xr:uid="{00000000-0005-0000-0000-0000A0210000}"/>
    <cellStyle name="40% - Accent1 5 2 4 2 3" xfId="22843" xr:uid="{00000000-0005-0000-0000-0000A1210000}"/>
    <cellStyle name="40% - Accent1 5 2 4 3" xfId="7096" xr:uid="{00000000-0005-0000-0000-0000A2210000}"/>
    <cellStyle name="40% - Accent1 5 2 4 4" xfId="20260" xr:uid="{00000000-0005-0000-0000-0000A3210000}"/>
    <cellStyle name="40% - Accent1 5 2 5" xfId="7097" xr:uid="{00000000-0005-0000-0000-0000A4210000}"/>
    <cellStyle name="40% - Accent1 5 2 5 2" xfId="7098" xr:uid="{00000000-0005-0000-0000-0000A5210000}"/>
    <cellStyle name="40% - Accent1 5 2 5 3" xfId="21553" xr:uid="{00000000-0005-0000-0000-0000A6210000}"/>
    <cellStyle name="40% - Accent1 5 2 6" xfId="7099" xr:uid="{00000000-0005-0000-0000-0000A7210000}"/>
    <cellStyle name="40% - Accent1 5 2 7" xfId="18959" xr:uid="{00000000-0005-0000-0000-0000A8210000}"/>
    <cellStyle name="40% - Accent1 5 3" xfId="7100" xr:uid="{00000000-0005-0000-0000-0000A9210000}"/>
    <cellStyle name="40% - Accent1 5 3 2" xfId="7101" xr:uid="{00000000-0005-0000-0000-0000AA210000}"/>
    <cellStyle name="40% - Accent1 5 3 2 2" xfId="7102" xr:uid="{00000000-0005-0000-0000-0000AB210000}"/>
    <cellStyle name="40% - Accent1 5 3 2 2 2" xfId="7103" xr:uid="{00000000-0005-0000-0000-0000AC210000}"/>
    <cellStyle name="40% - Accent1 5 3 2 2 2 2" xfId="7104" xr:uid="{00000000-0005-0000-0000-0000AD210000}"/>
    <cellStyle name="40% - Accent1 5 3 2 2 2 3" xfId="23649" xr:uid="{00000000-0005-0000-0000-0000AE210000}"/>
    <cellStyle name="40% - Accent1 5 3 2 2 3" xfId="7105" xr:uid="{00000000-0005-0000-0000-0000AF210000}"/>
    <cellStyle name="40% - Accent1 5 3 2 2 4" xfId="21066" xr:uid="{00000000-0005-0000-0000-0000B0210000}"/>
    <cellStyle name="40% - Accent1 5 3 2 3" xfId="7106" xr:uid="{00000000-0005-0000-0000-0000B1210000}"/>
    <cellStyle name="40% - Accent1 5 3 2 3 2" xfId="7107" xr:uid="{00000000-0005-0000-0000-0000B2210000}"/>
    <cellStyle name="40% - Accent1 5 3 2 3 3" xfId="22359" xr:uid="{00000000-0005-0000-0000-0000B3210000}"/>
    <cellStyle name="40% - Accent1 5 3 2 4" xfId="7108" xr:uid="{00000000-0005-0000-0000-0000B4210000}"/>
    <cellStyle name="40% - Accent1 5 3 2 5" xfId="19772" xr:uid="{00000000-0005-0000-0000-0000B5210000}"/>
    <cellStyle name="40% - Accent1 5 3 3" xfId="7109" xr:uid="{00000000-0005-0000-0000-0000B6210000}"/>
    <cellStyle name="40% - Accent1 5 3 3 2" xfId="7110" xr:uid="{00000000-0005-0000-0000-0000B7210000}"/>
    <cellStyle name="40% - Accent1 5 3 3 2 2" xfId="7111" xr:uid="{00000000-0005-0000-0000-0000B8210000}"/>
    <cellStyle name="40% - Accent1 5 3 3 2 3" xfId="23004" xr:uid="{00000000-0005-0000-0000-0000B9210000}"/>
    <cellStyle name="40% - Accent1 5 3 3 3" xfId="7112" xr:uid="{00000000-0005-0000-0000-0000BA210000}"/>
    <cellStyle name="40% - Accent1 5 3 3 4" xfId="20421" xr:uid="{00000000-0005-0000-0000-0000BB210000}"/>
    <cellStyle name="40% - Accent1 5 3 4" xfId="7113" xr:uid="{00000000-0005-0000-0000-0000BC210000}"/>
    <cellStyle name="40% - Accent1 5 3 4 2" xfId="7114" xr:uid="{00000000-0005-0000-0000-0000BD210000}"/>
    <cellStyle name="40% - Accent1 5 3 4 3" xfId="21714" xr:uid="{00000000-0005-0000-0000-0000BE210000}"/>
    <cellStyle name="40% - Accent1 5 3 5" xfId="7115" xr:uid="{00000000-0005-0000-0000-0000BF210000}"/>
    <cellStyle name="40% - Accent1 5 3 6" xfId="19124" xr:uid="{00000000-0005-0000-0000-0000C0210000}"/>
    <cellStyle name="40% - Accent1 5 4" xfId="7116" xr:uid="{00000000-0005-0000-0000-0000C1210000}"/>
    <cellStyle name="40% - Accent1 5 4 2" xfId="7117" xr:uid="{00000000-0005-0000-0000-0000C2210000}"/>
    <cellStyle name="40% - Accent1 5 4 2 2" xfId="7118" xr:uid="{00000000-0005-0000-0000-0000C3210000}"/>
    <cellStyle name="40% - Accent1 5 4 2 2 2" xfId="7119" xr:uid="{00000000-0005-0000-0000-0000C4210000}"/>
    <cellStyle name="40% - Accent1 5 4 2 2 3" xfId="23326" xr:uid="{00000000-0005-0000-0000-0000C5210000}"/>
    <cellStyle name="40% - Accent1 5 4 2 3" xfId="7120" xr:uid="{00000000-0005-0000-0000-0000C6210000}"/>
    <cellStyle name="40% - Accent1 5 4 2 4" xfId="20743" xr:uid="{00000000-0005-0000-0000-0000C7210000}"/>
    <cellStyle name="40% - Accent1 5 4 3" xfId="7121" xr:uid="{00000000-0005-0000-0000-0000C8210000}"/>
    <cellStyle name="40% - Accent1 5 4 3 2" xfId="7122" xr:uid="{00000000-0005-0000-0000-0000C9210000}"/>
    <cellStyle name="40% - Accent1 5 4 3 3" xfId="22036" xr:uid="{00000000-0005-0000-0000-0000CA210000}"/>
    <cellStyle name="40% - Accent1 5 4 4" xfId="7123" xr:uid="{00000000-0005-0000-0000-0000CB210000}"/>
    <cellStyle name="40% - Accent1 5 4 5" xfId="19450" xr:uid="{00000000-0005-0000-0000-0000CC210000}"/>
    <cellStyle name="40% - Accent1 5 5" xfId="7124" xr:uid="{00000000-0005-0000-0000-0000CD210000}"/>
    <cellStyle name="40% - Accent1 5 5 2" xfId="7125" xr:uid="{00000000-0005-0000-0000-0000CE210000}"/>
    <cellStyle name="40% - Accent1 5 5 2 2" xfId="7126" xr:uid="{00000000-0005-0000-0000-0000CF210000}"/>
    <cellStyle name="40% - Accent1 5 5 2 3" xfId="22681" xr:uid="{00000000-0005-0000-0000-0000D0210000}"/>
    <cellStyle name="40% - Accent1 5 5 3" xfId="7127" xr:uid="{00000000-0005-0000-0000-0000D1210000}"/>
    <cellStyle name="40% - Accent1 5 5 4" xfId="20098" xr:uid="{00000000-0005-0000-0000-0000D2210000}"/>
    <cellStyle name="40% - Accent1 5 6" xfId="7128" xr:uid="{00000000-0005-0000-0000-0000D3210000}"/>
    <cellStyle name="40% - Accent1 5 6 2" xfId="7129" xr:uid="{00000000-0005-0000-0000-0000D4210000}"/>
    <cellStyle name="40% - Accent1 5 6 3" xfId="21391" xr:uid="{00000000-0005-0000-0000-0000D5210000}"/>
    <cellStyle name="40% - Accent1 5 7" xfId="7130" xr:uid="{00000000-0005-0000-0000-0000D6210000}"/>
    <cellStyle name="40% - Accent1 5 8" xfId="18786" xr:uid="{00000000-0005-0000-0000-0000D7210000}"/>
    <cellStyle name="40% - Accent1 6" xfId="7131" xr:uid="{00000000-0005-0000-0000-0000D8210000}"/>
    <cellStyle name="40% - Accent1 6 2" xfId="7132" xr:uid="{00000000-0005-0000-0000-0000D9210000}"/>
    <cellStyle name="40% - Accent1 6 2 2" xfId="7133" xr:uid="{00000000-0005-0000-0000-0000DA210000}"/>
    <cellStyle name="40% - Accent1 6 2 2 2" xfId="7134" xr:uid="{00000000-0005-0000-0000-0000DB210000}"/>
    <cellStyle name="40% - Accent1 6 2 2 2 2" xfId="7135" xr:uid="{00000000-0005-0000-0000-0000DC210000}"/>
    <cellStyle name="40% - Accent1 6 2 2 2 2 2" xfId="7136" xr:uid="{00000000-0005-0000-0000-0000DD210000}"/>
    <cellStyle name="40% - Accent1 6 2 2 2 2 3" xfId="23729" xr:uid="{00000000-0005-0000-0000-0000DE210000}"/>
    <cellStyle name="40% - Accent1 6 2 2 2 3" xfId="7137" xr:uid="{00000000-0005-0000-0000-0000DF210000}"/>
    <cellStyle name="40% - Accent1 6 2 2 2 4" xfId="21146" xr:uid="{00000000-0005-0000-0000-0000E0210000}"/>
    <cellStyle name="40% - Accent1 6 2 2 3" xfId="7138" xr:uid="{00000000-0005-0000-0000-0000E1210000}"/>
    <cellStyle name="40% - Accent1 6 2 2 3 2" xfId="7139" xr:uid="{00000000-0005-0000-0000-0000E2210000}"/>
    <cellStyle name="40% - Accent1 6 2 2 3 3" xfId="22439" xr:uid="{00000000-0005-0000-0000-0000E3210000}"/>
    <cellStyle name="40% - Accent1 6 2 2 4" xfId="7140" xr:uid="{00000000-0005-0000-0000-0000E4210000}"/>
    <cellStyle name="40% - Accent1 6 2 2 5" xfId="19852" xr:uid="{00000000-0005-0000-0000-0000E5210000}"/>
    <cellStyle name="40% - Accent1 6 2 3" xfId="7141" xr:uid="{00000000-0005-0000-0000-0000E6210000}"/>
    <cellStyle name="40% - Accent1 6 2 3 2" xfId="7142" xr:uid="{00000000-0005-0000-0000-0000E7210000}"/>
    <cellStyle name="40% - Accent1 6 2 3 2 2" xfId="7143" xr:uid="{00000000-0005-0000-0000-0000E8210000}"/>
    <cellStyle name="40% - Accent1 6 2 3 2 3" xfId="23084" xr:uid="{00000000-0005-0000-0000-0000E9210000}"/>
    <cellStyle name="40% - Accent1 6 2 3 3" xfId="7144" xr:uid="{00000000-0005-0000-0000-0000EA210000}"/>
    <cellStyle name="40% - Accent1 6 2 3 4" xfId="20501" xr:uid="{00000000-0005-0000-0000-0000EB210000}"/>
    <cellStyle name="40% - Accent1 6 2 4" xfId="7145" xr:uid="{00000000-0005-0000-0000-0000EC210000}"/>
    <cellStyle name="40% - Accent1 6 2 4 2" xfId="7146" xr:uid="{00000000-0005-0000-0000-0000ED210000}"/>
    <cellStyle name="40% - Accent1 6 2 4 3" xfId="21794" xr:uid="{00000000-0005-0000-0000-0000EE210000}"/>
    <cellStyle name="40% - Accent1 6 2 5" xfId="7147" xr:uid="{00000000-0005-0000-0000-0000EF210000}"/>
    <cellStyle name="40% - Accent1 6 2 6" xfId="19204" xr:uid="{00000000-0005-0000-0000-0000F0210000}"/>
    <cellStyle name="40% - Accent1 6 3" xfId="7148" xr:uid="{00000000-0005-0000-0000-0000F1210000}"/>
    <cellStyle name="40% - Accent1 6 3 2" xfId="7149" xr:uid="{00000000-0005-0000-0000-0000F2210000}"/>
    <cellStyle name="40% - Accent1 6 3 2 2" xfId="7150" xr:uid="{00000000-0005-0000-0000-0000F3210000}"/>
    <cellStyle name="40% - Accent1 6 3 2 2 2" xfId="7151" xr:uid="{00000000-0005-0000-0000-0000F4210000}"/>
    <cellStyle name="40% - Accent1 6 3 2 2 3" xfId="23407" xr:uid="{00000000-0005-0000-0000-0000F5210000}"/>
    <cellStyle name="40% - Accent1 6 3 2 3" xfId="7152" xr:uid="{00000000-0005-0000-0000-0000F6210000}"/>
    <cellStyle name="40% - Accent1 6 3 2 4" xfId="20824" xr:uid="{00000000-0005-0000-0000-0000F7210000}"/>
    <cellStyle name="40% - Accent1 6 3 3" xfId="7153" xr:uid="{00000000-0005-0000-0000-0000F8210000}"/>
    <cellStyle name="40% - Accent1 6 3 3 2" xfId="7154" xr:uid="{00000000-0005-0000-0000-0000F9210000}"/>
    <cellStyle name="40% - Accent1 6 3 3 3" xfId="22117" xr:uid="{00000000-0005-0000-0000-0000FA210000}"/>
    <cellStyle name="40% - Accent1 6 3 4" xfId="7155" xr:uid="{00000000-0005-0000-0000-0000FB210000}"/>
    <cellStyle name="40% - Accent1 6 3 5" xfId="19530" xr:uid="{00000000-0005-0000-0000-0000FC210000}"/>
    <cellStyle name="40% - Accent1 6 4" xfId="7156" xr:uid="{00000000-0005-0000-0000-0000FD210000}"/>
    <cellStyle name="40% - Accent1 6 4 2" xfId="7157" xr:uid="{00000000-0005-0000-0000-0000FE210000}"/>
    <cellStyle name="40% - Accent1 6 4 2 2" xfId="7158" xr:uid="{00000000-0005-0000-0000-0000FF210000}"/>
    <cellStyle name="40% - Accent1 6 4 2 3" xfId="22762" xr:uid="{00000000-0005-0000-0000-000000220000}"/>
    <cellStyle name="40% - Accent1 6 4 3" xfId="7159" xr:uid="{00000000-0005-0000-0000-000001220000}"/>
    <cellStyle name="40% - Accent1 6 4 4" xfId="20179" xr:uid="{00000000-0005-0000-0000-000002220000}"/>
    <cellStyle name="40% - Accent1 6 5" xfId="7160" xr:uid="{00000000-0005-0000-0000-000003220000}"/>
    <cellStyle name="40% - Accent1 6 5 2" xfId="7161" xr:uid="{00000000-0005-0000-0000-000004220000}"/>
    <cellStyle name="40% - Accent1 6 5 3" xfId="21472" xr:uid="{00000000-0005-0000-0000-000005220000}"/>
    <cellStyle name="40% - Accent1 6 6" xfId="7162" xr:uid="{00000000-0005-0000-0000-000006220000}"/>
    <cellStyle name="40% - Accent1 6 7" xfId="18874" xr:uid="{00000000-0005-0000-0000-000007220000}"/>
    <cellStyle name="40% - Accent1 7" xfId="7163" xr:uid="{00000000-0005-0000-0000-000008220000}"/>
    <cellStyle name="40% - Accent1 7 2" xfId="7164" xr:uid="{00000000-0005-0000-0000-000009220000}"/>
    <cellStyle name="40% - Accent1 7 2 2" xfId="7165" xr:uid="{00000000-0005-0000-0000-00000A220000}"/>
    <cellStyle name="40% - Accent1 7 2 2 2" xfId="7166" xr:uid="{00000000-0005-0000-0000-00000B220000}"/>
    <cellStyle name="40% - Accent1 7 2 2 2 2" xfId="7167" xr:uid="{00000000-0005-0000-0000-00000C220000}"/>
    <cellStyle name="40% - Accent1 7 2 2 2 3" xfId="23568" xr:uid="{00000000-0005-0000-0000-00000D220000}"/>
    <cellStyle name="40% - Accent1 7 2 2 3" xfId="7168" xr:uid="{00000000-0005-0000-0000-00000E220000}"/>
    <cellStyle name="40% - Accent1 7 2 2 4" xfId="20985" xr:uid="{00000000-0005-0000-0000-00000F220000}"/>
    <cellStyle name="40% - Accent1 7 2 3" xfId="7169" xr:uid="{00000000-0005-0000-0000-000010220000}"/>
    <cellStyle name="40% - Accent1 7 2 3 2" xfId="7170" xr:uid="{00000000-0005-0000-0000-000011220000}"/>
    <cellStyle name="40% - Accent1 7 2 3 3" xfId="22278" xr:uid="{00000000-0005-0000-0000-000012220000}"/>
    <cellStyle name="40% - Accent1 7 2 4" xfId="7171" xr:uid="{00000000-0005-0000-0000-000013220000}"/>
    <cellStyle name="40% - Accent1 7 2 5" xfId="19691" xr:uid="{00000000-0005-0000-0000-000014220000}"/>
    <cellStyle name="40% - Accent1 7 3" xfId="7172" xr:uid="{00000000-0005-0000-0000-000015220000}"/>
    <cellStyle name="40% - Accent1 7 3 2" xfId="7173" xr:uid="{00000000-0005-0000-0000-000016220000}"/>
    <cellStyle name="40% - Accent1 7 3 2 2" xfId="7174" xr:uid="{00000000-0005-0000-0000-000017220000}"/>
    <cellStyle name="40% - Accent1 7 3 2 3" xfId="22923" xr:uid="{00000000-0005-0000-0000-000018220000}"/>
    <cellStyle name="40% - Accent1 7 3 3" xfId="7175" xr:uid="{00000000-0005-0000-0000-000019220000}"/>
    <cellStyle name="40% - Accent1 7 3 4" xfId="20340" xr:uid="{00000000-0005-0000-0000-00001A220000}"/>
    <cellStyle name="40% - Accent1 7 4" xfId="7176" xr:uid="{00000000-0005-0000-0000-00001B220000}"/>
    <cellStyle name="40% - Accent1 7 4 2" xfId="7177" xr:uid="{00000000-0005-0000-0000-00001C220000}"/>
    <cellStyle name="40% - Accent1 7 4 3" xfId="21633" xr:uid="{00000000-0005-0000-0000-00001D220000}"/>
    <cellStyle name="40% - Accent1 7 5" xfId="7178" xr:uid="{00000000-0005-0000-0000-00001E220000}"/>
    <cellStyle name="40% - Accent1 7 6" xfId="19039" xr:uid="{00000000-0005-0000-0000-00001F220000}"/>
    <cellStyle name="40% - Accent1 8" xfId="7179" xr:uid="{00000000-0005-0000-0000-000020220000}"/>
    <cellStyle name="40% - Accent1 8 2" xfId="7180" xr:uid="{00000000-0005-0000-0000-000021220000}"/>
    <cellStyle name="40% - Accent1 8 2 2" xfId="7181" xr:uid="{00000000-0005-0000-0000-000022220000}"/>
    <cellStyle name="40% - Accent1 8 2 2 2" xfId="7182" xr:uid="{00000000-0005-0000-0000-000023220000}"/>
    <cellStyle name="40% - Accent1 8 2 2 3" xfId="23245" xr:uid="{00000000-0005-0000-0000-000024220000}"/>
    <cellStyle name="40% - Accent1 8 2 3" xfId="7183" xr:uid="{00000000-0005-0000-0000-000025220000}"/>
    <cellStyle name="40% - Accent1 8 2 4" xfId="20662" xr:uid="{00000000-0005-0000-0000-000026220000}"/>
    <cellStyle name="40% - Accent1 8 3" xfId="7184" xr:uid="{00000000-0005-0000-0000-000027220000}"/>
    <cellStyle name="40% - Accent1 8 3 2" xfId="7185" xr:uid="{00000000-0005-0000-0000-000028220000}"/>
    <cellStyle name="40% - Accent1 8 3 3" xfId="21955" xr:uid="{00000000-0005-0000-0000-000029220000}"/>
    <cellStyle name="40% - Accent1 8 4" xfId="7186" xr:uid="{00000000-0005-0000-0000-00002A220000}"/>
    <cellStyle name="40% - Accent1 8 5" xfId="19365" xr:uid="{00000000-0005-0000-0000-00002B220000}"/>
    <cellStyle name="40% - Accent1 9" xfId="7187" xr:uid="{00000000-0005-0000-0000-00002C220000}"/>
    <cellStyle name="40% - Accent1 9 2" xfId="7188" xr:uid="{00000000-0005-0000-0000-00002D220000}"/>
    <cellStyle name="40% - Accent1 9 2 2" xfId="7189" xr:uid="{00000000-0005-0000-0000-00002E220000}"/>
    <cellStyle name="40% - Accent1 9 2 3" xfId="22600" xr:uid="{00000000-0005-0000-0000-00002F220000}"/>
    <cellStyle name="40% - Accent1 9 3" xfId="7190" xr:uid="{00000000-0005-0000-0000-000030220000}"/>
    <cellStyle name="40% - Accent1 9 4" xfId="20013" xr:uid="{00000000-0005-0000-0000-000031220000}"/>
    <cellStyle name="40% - Accent2 10" xfId="7191" xr:uid="{00000000-0005-0000-0000-000032220000}"/>
    <cellStyle name="40% - Accent2 10 2" xfId="7192" xr:uid="{00000000-0005-0000-0000-000033220000}"/>
    <cellStyle name="40% - Accent2 10 3" xfId="21308" xr:uid="{00000000-0005-0000-0000-000034220000}"/>
    <cellStyle name="40% - Accent2 11" xfId="7193" xr:uid="{00000000-0005-0000-0000-000035220000}"/>
    <cellStyle name="40% - Accent2 12" xfId="7194" xr:uid="{00000000-0005-0000-0000-000036220000}"/>
    <cellStyle name="40% - Accent2 13" xfId="7195" xr:uid="{00000000-0005-0000-0000-000037220000}"/>
    <cellStyle name="40% - Accent2 14" xfId="7196" xr:uid="{00000000-0005-0000-0000-000038220000}"/>
    <cellStyle name="40% - Accent2 15" xfId="18615" xr:uid="{00000000-0005-0000-0000-000039220000}"/>
    <cellStyle name="40% - Accent2 2" xfId="7197" xr:uid="{00000000-0005-0000-0000-00003A220000}"/>
    <cellStyle name="40% - Accent2 2 10" xfId="7198" xr:uid="{00000000-0005-0000-0000-00003B220000}"/>
    <cellStyle name="40% - Accent2 2 11" xfId="18637" xr:uid="{00000000-0005-0000-0000-00003C220000}"/>
    <cellStyle name="40% - Accent2 2 2" xfId="7199" xr:uid="{00000000-0005-0000-0000-00003D220000}"/>
    <cellStyle name="40% - Accent2 2 2 10" xfId="18724" xr:uid="{00000000-0005-0000-0000-00003E220000}"/>
    <cellStyle name="40% - Accent2 2 2 2" xfId="7200" xr:uid="{00000000-0005-0000-0000-00003F220000}"/>
    <cellStyle name="40% - Accent2 2 2 2 2" xfId="7201" xr:uid="{00000000-0005-0000-0000-000040220000}"/>
    <cellStyle name="40% - Accent2 2 2 2 2 2" xfId="7202" xr:uid="{00000000-0005-0000-0000-000041220000}"/>
    <cellStyle name="40% - Accent2 2 2 2 2 2 2" xfId="7203" xr:uid="{00000000-0005-0000-0000-000042220000}"/>
    <cellStyle name="40% - Accent2 2 2 2 2 2 2 2" xfId="7204" xr:uid="{00000000-0005-0000-0000-000043220000}"/>
    <cellStyle name="40% - Accent2 2 2 2 2 2 2 2 2" xfId="7205" xr:uid="{00000000-0005-0000-0000-000044220000}"/>
    <cellStyle name="40% - Accent2 2 2 2 2 2 2 2 2 2" xfId="7206" xr:uid="{00000000-0005-0000-0000-000045220000}"/>
    <cellStyle name="40% - Accent2 2 2 2 2 2 2 2 2 2 2" xfId="7207" xr:uid="{00000000-0005-0000-0000-000046220000}"/>
    <cellStyle name="40% - Accent2 2 2 2 2 2 2 2 2 2 3" xfId="23881" xr:uid="{00000000-0005-0000-0000-000047220000}"/>
    <cellStyle name="40% - Accent2 2 2 2 2 2 2 2 2 3" xfId="7208" xr:uid="{00000000-0005-0000-0000-000048220000}"/>
    <cellStyle name="40% - Accent2 2 2 2 2 2 2 2 2 4" xfId="21298" xr:uid="{00000000-0005-0000-0000-000049220000}"/>
    <cellStyle name="40% - Accent2 2 2 2 2 2 2 2 3" xfId="7209" xr:uid="{00000000-0005-0000-0000-00004A220000}"/>
    <cellStyle name="40% - Accent2 2 2 2 2 2 2 2 3 2" xfId="7210" xr:uid="{00000000-0005-0000-0000-00004B220000}"/>
    <cellStyle name="40% - Accent2 2 2 2 2 2 2 2 3 3" xfId="22591" xr:uid="{00000000-0005-0000-0000-00004C220000}"/>
    <cellStyle name="40% - Accent2 2 2 2 2 2 2 2 4" xfId="7211" xr:uid="{00000000-0005-0000-0000-00004D220000}"/>
    <cellStyle name="40% - Accent2 2 2 2 2 2 2 2 5" xfId="20004" xr:uid="{00000000-0005-0000-0000-00004E220000}"/>
    <cellStyle name="40% - Accent2 2 2 2 2 2 2 3" xfId="7212" xr:uid="{00000000-0005-0000-0000-00004F220000}"/>
    <cellStyle name="40% - Accent2 2 2 2 2 2 2 3 2" xfId="7213" xr:uid="{00000000-0005-0000-0000-000050220000}"/>
    <cellStyle name="40% - Accent2 2 2 2 2 2 2 3 2 2" xfId="7214" xr:uid="{00000000-0005-0000-0000-000051220000}"/>
    <cellStyle name="40% - Accent2 2 2 2 2 2 2 3 2 3" xfId="23236" xr:uid="{00000000-0005-0000-0000-000052220000}"/>
    <cellStyle name="40% - Accent2 2 2 2 2 2 2 3 3" xfId="7215" xr:uid="{00000000-0005-0000-0000-000053220000}"/>
    <cellStyle name="40% - Accent2 2 2 2 2 2 2 3 4" xfId="20653" xr:uid="{00000000-0005-0000-0000-000054220000}"/>
    <cellStyle name="40% - Accent2 2 2 2 2 2 2 4" xfId="7216" xr:uid="{00000000-0005-0000-0000-000055220000}"/>
    <cellStyle name="40% - Accent2 2 2 2 2 2 2 4 2" xfId="7217" xr:uid="{00000000-0005-0000-0000-000056220000}"/>
    <cellStyle name="40% - Accent2 2 2 2 2 2 2 4 3" xfId="21946" xr:uid="{00000000-0005-0000-0000-000057220000}"/>
    <cellStyle name="40% - Accent2 2 2 2 2 2 2 5" xfId="7218" xr:uid="{00000000-0005-0000-0000-000058220000}"/>
    <cellStyle name="40% - Accent2 2 2 2 2 2 2 6" xfId="19356" xr:uid="{00000000-0005-0000-0000-000059220000}"/>
    <cellStyle name="40% - Accent2 2 2 2 2 2 3" xfId="7219" xr:uid="{00000000-0005-0000-0000-00005A220000}"/>
    <cellStyle name="40% - Accent2 2 2 2 2 2 3 2" xfId="7220" xr:uid="{00000000-0005-0000-0000-00005B220000}"/>
    <cellStyle name="40% - Accent2 2 2 2 2 2 3 2 2" xfId="7221" xr:uid="{00000000-0005-0000-0000-00005C220000}"/>
    <cellStyle name="40% - Accent2 2 2 2 2 2 3 2 2 2" xfId="7222" xr:uid="{00000000-0005-0000-0000-00005D220000}"/>
    <cellStyle name="40% - Accent2 2 2 2 2 2 3 2 2 3" xfId="23559" xr:uid="{00000000-0005-0000-0000-00005E220000}"/>
    <cellStyle name="40% - Accent2 2 2 2 2 2 3 2 3" xfId="7223" xr:uid="{00000000-0005-0000-0000-00005F220000}"/>
    <cellStyle name="40% - Accent2 2 2 2 2 2 3 2 4" xfId="20976" xr:uid="{00000000-0005-0000-0000-000060220000}"/>
    <cellStyle name="40% - Accent2 2 2 2 2 2 3 3" xfId="7224" xr:uid="{00000000-0005-0000-0000-000061220000}"/>
    <cellStyle name="40% - Accent2 2 2 2 2 2 3 3 2" xfId="7225" xr:uid="{00000000-0005-0000-0000-000062220000}"/>
    <cellStyle name="40% - Accent2 2 2 2 2 2 3 3 3" xfId="22269" xr:uid="{00000000-0005-0000-0000-000063220000}"/>
    <cellStyle name="40% - Accent2 2 2 2 2 2 3 4" xfId="7226" xr:uid="{00000000-0005-0000-0000-000064220000}"/>
    <cellStyle name="40% - Accent2 2 2 2 2 2 3 5" xfId="19682" xr:uid="{00000000-0005-0000-0000-000065220000}"/>
    <cellStyle name="40% - Accent2 2 2 2 2 2 4" xfId="7227" xr:uid="{00000000-0005-0000-0000-000066220000}"/>
    <cellStyle name="40% - Accent2 2 2 2 2 2 4 2" xfId="7228" xr:uid="{00000000-0005-0000-0000-000067220000}"/>
    <cellStyle name="40% - Accent2 2 2 2 2 2 4 2 2" xfId="7229" xr:uid="{00000000-0005-0000-0000-000068220000}"/>
    <cellStyle name="40% - Accent2 2 2 2 2 2 4 2 3" xfId="22914" xr:uid="{00000000-0005-0000-0000-000069220000}"/>
    <cellStyle name="40% - Accent2 2 2 2 2 2 4 3" xfId="7230" xr:uid="{00000000-0005-0000-0000-00006A220000}"/>
    <cellStyle name="40% - Accent2 2 2 2 2 2 4 4" xfId="20331" xr:uid="{00000000-0005-0000-0000-00006B220000}"/>
    <cellStyle name="40% - Accent2 2 2 2 2 2 5" xfId="7231" xr:uid="{00000000-0005-0000-0000-00006C220000}"/>
    <cellStyle name="40% - Accent2 2 2 2 2 2 5 2" xfId="7232" xr:uid="{00000000-0005-0000-0000-00006D220000}"/>
    <cellStyle name="40% - Accent2 2 2 2 2 2 5 3" xfId="21624" xr:uid="{00000000-0005-0000-0000-00006E220000}"/>
    <cellStyle name="40% - Accent2 2 2 2 2 2 6" xfId="7233" xr:uid="{00000000-0005-0000-0000-00006F220000}"/>
    <cellStyle name="40% - Accent2 2 2 2 2 2 7" xfId="19030" xr:uid="{00000000-0005-0000-0000-000070220000}"/>
    <cellStyle name="40% - Accent2 2 2 2 2 3" xfId="7234" xr:uid="{00000000-0005-0000-0000-000071220000}"/>
    <cellStyle name="40% - Accent2 2 2 2 2 3 2" xfId="7235" xr:uid="{00000000-0005-0000-0000-000072220000}"/>
    <cellStyle name="40% - Accent2 2 2 2 2 3 2 2" xfId="7236" xr:uid="{00000000-0005-0000-0000-000073220000}"/>
    <cellStyle name="40% - Accent2 2 2 2 2 3 2 2 2" xfId="7237" xr:uid="{00000000-0005-0000-0000-000074220000}"/>
    <cellStyle name="40% - Accent2 2 2 2 2 3 2 2 2 2" xfId="7238" xr:uid="{00000000-0005-0000-0000-000075220000}"/>
    <cellStyle name="40% - Accent2 2 2 2 2 3 2 2 2 3" xfId="23720" xr:uid="{00000000-0005-0000-0000-000076220000}"/>
    <cellStyle name="40% - Accent2 2 2 2 2 3 2 2 3" xfId="7239" xr:uid="{00000000-0005-0000-0000-000077220000}"/>
    <cellStyle name="40% - Accent2 2 2 2 2 3 2 2 4" xfId="21137" xr:uid="{00000000-0005-0000-0000-000078220000}"/>
    <cellStyle name="40% - Accent2 2 2 2 2 3 2 3" xfId="7240" xr:uid="{00000000-0005-0000-0000-000079220000}"/>
    <cellStyle name="40% - Accent2 2 2 2 2 3 2 3 2" xfId="7241" xr:uid="{00000000-0005-0000-0000-00007A220000}"/>
    <cellStyle name="40% - Accent2 2 2 2 2 3 2 3 3" xfId="22430" xr:uid="{00000000-0005-0000-0000-00007B220000}"/>
    <cellStyle name="40% - Accent2 2 2 2 2 3 2 4" xfId="7242" xr:uid="{00000000-0005-0000-0000-00007C220000}"/>
    <cellStyle name="40% - Accent2 2 2 2 2 3 2 5" xfId="19843" xr:uid="{00000000-0005-0000-0000-00007D220000}"/>
    <cellStyle name="40% - Accent2 2 2 2 2 3 3" xfId="7243" xr:uid="{00000000-0005-0000-0000-00007E220000}"/>
    <cellStyle name="40% - Accent2 2 2 2 2 3 3 2" xfId="7244" xr:uid="{00000000-0005-0000-0000-00007F220000}"/>
    <cellStyle name="40% - Accent2 2 2 2 2 3 3 2 2" xfId="7245" xr:uid="{00000000-0005-0000-0000-000080220000}"/>
    <cellStyle name="40% - Accent2 2 2 2 2 3 3 2 3" xfId="23075" xr:uid="{00000000-0005-0000-0000-000081220000}"/>
    <cellStyle name="40% - Accent2 2 2 2 2 3 3 3" xfId="7246" xr:uid="{00000000-0005-0000-0000-000082220000}"/>
    <cellStyle name="40% - Accent2 2 2 2 2 3 3 4" xfId="20492" xr:uid="{00000000-0005-0000-0000-000083220000}"/>
    <cellStyle name="40% - Accent2 2 2 2 2 3 4" xfId="7247" xr:uid="{00000000-0005-0000-0000-000084220000}"/>
    <cellStyle name="40% - Accent2 2 2 2 2 3 4 2" xfId="7248" xr:uid="{00000000-0005-0000-0000-000085220000}"/>
    <cellStyle name="40% - Accent2 2 2 2 2 3 4 3" xfId="21785" xr:uid="{00000000-0005-0000-0000-000086220000}"/>
    <cellStyle name="40% - Accent2 2 2 2 2 3 5" xfId="7249" xr:uid="{00000000-0005-0000-0000-000087220000}"/>
    <cellStyle name="40% - Accent2 2 2 2 2 3 6" xfId="19195" xr:uid="{00000000-0005-0000-0000-000088220000}"/>
    <cellStyle name="40% - Accent2 2 2 2 2 4" xfId="7250" xr:uid="{00000000-0005-0000-0000-000089220000}"/>
    <cellStyle name="40% - Accent2 2 2 2 2 4 2" xfId="7251" xr:uid="{00000000-0005-0000-0000-00008A220000}"/>
    <cellStyle name="40% - Accent2 2 2 2 2 4 2 2" xfId="7252" xr:uid="{00000000-0005-0000-0000-00008B220000}"/>
    <cellStyle name="40% - Accent2 2 2 2 2 4 2 2 2" xfId="7253" xr:uid="{00000000-0005-0000-0000-00008C220000}"/>
    <cellStyle name="40% - Accent2 2 2 2 2 4 2 2 3" xfId="23398" xr:uid="{00000000-0005-0000-0000-00008D220000}"/>
    <cellStyle name="40% - Accent2 2 2 2 2 4 2 3" xfId="7254" xr:uid="{00000000-0005-0000-0000-00008E220000}"/>
    <cellStyle name="40% - Accent2 2 2 2 2 4 2 4" xfId="20815" xr:uid="{00000000-0005-0000-0000-00008F220000}"/>
    <cellStyle name="40% - Accent2 2 2 2 2 4 3" xfId="7255" xr:uid="{00000000-0005-0000-0000-000090220000}"/>
    <cellStyle name="40% - Accent2 2 2 2 2 4 3 2" xfId="7256" xr:uid="{00000000-0005-0000-0000-000091220000}"/>
    <cellStyle name="40% - Accent2 2 2 2 2 4 3 3" xfId="22108" xr:uid="{00000000-0005-0000-0000-000092220000}"/>
    <cellStyle name="40% - Accent2 2 2 2 2 4 4" xfId="7257" xr:uid="{00000000-0005-0000-0000-000093220000}"/>
    <cellStyle name="40% - Accent2 2 2 2 2 4 5" xfId="19521" xr:uid="{00000000-0005-0000-0000-000094220000}"/>
    <cellStyle name="40% - Accent2 2 2 2 2 5" xfId="7258" xr:uid="{00000000-0005-0000-0000-000095220000}"/>
    <cellStyle name="40% - Accent2 2 2 2 2 5 2" xfId="7259" xr:uid="{00000000-0005-0000-0000-000096220000}"/>
    <cellStyle name="40% - Accent2 2 2 2 2 5 2 2" xfId="7260" xr:uid="{00000000-0005-0000-0000-000097220000}"/>
    <cellStyle name="40% - Accent2 2 2 2 2 5 2 3" xfId="22753" xr:uid="{00000000-0005-0000-0000-000098220000}"/>
    <cellStyle name="40% - Accent2 2 2 2 2 5 3" xfId="7261" xr:uid="{00000000-0005-0000-0000-000099220000}"/>
    <cellStyle name="40% - Accent2 2 2 2 2 5 4" xfId="20170" xr:uid="{00000000-0005-0000-0000-00009A220000}"/>
    <cellStyle name="40% - Accent2 2 2 2 2 6" xfId="7262" xr:uid="{00000000-0005-0000-0000-00009B220000}"/>
    <cellStyle name="40% - Accent2 2 2 2 2 6 2" xfId="7263" xr:uid="{00000000-0005-0000-0000-00009C220000}"/>
    <cellStyle name="40% - Accent2 2 2 2 2 6 3" xfId="21463" xr:uid="{00000000-0005-0000-0000-00009D220000}"/>
    <cellStyle name="40% - Accent2 2 2 2 2 7" xfId="7264" xr:uid="{00000000-0005-0000-0000-00009E220000}"/>
    <cellStyle name="40% - Accent2 2 2 2 2 8" xfId="18865" xr:uid="{00000000-0005-0000-0000-00009F220000}"/>
    <cellStyle name="40% - Accent2 2 2 2 3" xfId="7265" xr:uid="{00000000-0005-0000-0000-0000A0220000}"/>
    <cellStyle name="40% - Accent2 2 2 2 3 2" xfId="7266" xr:uid="{00000000-0005-0000-0000-0000A1220000}"/>
    <cellStyle name="40% - Accent2 2 2 2 3 2 2" xfId="7267" xr:uid="{00000000-0005-0000-0000-0000A2220000}"/>
    <cellStyle name="40% - Accent2 2 2 2 3 2 2 2" xfId="7268" xr:uid="{00000000-0005-0000-0000-0000A3220000}"/>
    <cellStyle name="40% - Accent2 2 2 2 3 2 2 2 2" xfId="7269" xr:uid="{00000000-0005-0000-0000-0000A4220000}"/>
    <cellStyle name="40% - Accent2 2 2 2 3 2 2 2 2 2" xfId="7270" xr:uid="{00000000-0005-0000-0000-0000A5220000}"/>
    <cellStyle name="40% - Accent2 2 2 2 3 2 2 2 2 3" xfId="23801" xr:uid="{00000000-0005-0000-0000-0000A6220000}"/>
    <cellStyle name="40% - Accent2 2 2 2 3 2 2 2 3" xfId="7271" xr:uid="{00000000-0005-0000-0000-0000A7220000}"/>
    <cellStyle name="40% - Accent2 2 2 2 3 2 2 2 4" xfId="21218" xr:uid="{00000000-0005-0000-0000-0000A8220000}"/>
    <cellStyle name="40% - Accent2 2 2 2 3 2 2 3" xfId="7272" xr:uid="{00000000-0005-0000-0000-0000A9220000}"/>
    <cellStyle name="40% - Accent2 2 2 2 3 2 2 3 2" xfId="7273" xr:uid="{00000000-0005-0000-0000-0000AA220000}"/>
    <cellStyle name="40% - Accent2 2 2 2 3 2 2 3 3" xfId="22511" xr:uid="{00000000-0005-0000-0000-0000AB220000}"/>
    <cellStyle name="40% - Accent2 2 2 2 3 2 2 4" xfId="7274" xr:uid="{00000000-0005-0000-0000-0000AC220000}"/>
    <cellStyle name="40% - Accent2 2 2 2 3 2 2 5" xfId="19924" xr:uid="{00000000-0005-0000-0000-0000AD220000}"/>
    <cellStyle name="40% - Accent2 2 2 2 3 2 3" xfId="7275" xr:uid="{00000000-0005-0000-0000-0000AE220000}"/>
    <cellStyle name="40% - Accent2 2 2 2 3 2 3 2" xfId="7276" xr:uid="{00000000-0005-0000-0000-0000AF220000}"/>
    <cellStyle name="40% - Accent2 2 2 2 3 2 3 2 2" xfId="7277" xr:uid="{00000000-0005-0000-0000-0000B0220000}"/>
    <cellStyle name="40% - Accent2 2 2 2 3 2 3 2 3" xfId="23156" xr:uid="{00000000-0005-0000-0000-0000B1220000}"/>
    <cellStyle name="40% - Accent2 2 2 2 3 2 3 3" xfId="7278" xr:uid="{00000000-0005-0000-0000-0000B2220000}"/>
    <cellStyle name="40% - Accent2 2 2 2 3 2 3 4" xfId="20573" xr:uid="{00000000-0005-0000-0000-0000B3220000}"/>
    <cellStyle name="40% - Accent2 2 2 2 3 2 4" xfId="7279" xr:uid="{00000000-0005-0000-0000-0000B4220000}"/>
    <cellStyle name="40% - Accent2 2 2 2 3 2 4 2" xfId="7280" xr:uid="{00000000-0005-0000-0000-0000B5220000}"/>
    <cellStyle name="40% - Accent2 2 2 2 3 2 4 3" xfId="21866" xr:uid="{00000000-0005-0000-0000-0000B6220000}"/>
    <cellStyle name="40% - Accent2 2 2 2 3 2 5" xfId="7281" xr:uid="{00000000-0005-0000-0000-0000B7220000}"/>
    <cellStyle name="40% - Accent2 2 2 2 3 2 6" xfId="19276" xr:uid="{00000000-0005-0000-0000-0000B8220000}"/>
    <cellStyle name="40% - Accent2 2 2 2 3 3" xfId="7282" xr:uid="{00000000-0005-0000-0000-0000B9220000}"/>
    <cellStyle name="40% - Accent2 2 2 2 3 3 2" xfId="7283" xr:uid="{00000000-0005-0000-0000-0000BA220000}"/>
    <cellStyle name="40% - Accent2 2 2 2 3 3 2 2" xfId="7284" xr:uid="{00000000-0005-0000-0000-0000BB220000}"/>
    <cellStyle name="40% - Accent2 2 2 2 3 3 2 2 2" xfId="7285" xr:uid="{00000000-0005-0000-0000-0000BC220000}"/>
    <cellStyle name="40% - Accent2 2 2 2 3 3 2 2 3" xfId="23479" xr:uid="{00000000-0005-0000-0000-0000BD220000}"/>
    <cellStyle name="40% - Accent2 2 2 2 3 3 2 3" xfId="7286" xr:uid="{00000000-0005-0000-0000-0000BE220000}"/>
    <cellStyle name="40% - Accent2 2 2 2 3 3 2 4" xfId="20896" xr:uid="{00000000-0005-0000-0000-0000BF220000}"/>
    <cellStyle name="40% - Accent2 2 2 2 3 3 3" xfId="7287" xr:uid="{00000000-0005-0000-0000-0000C0220000}"/>
    <cellStyle name="40% - Accent2 2 2 2 3 3 3 2" xfId="7288" xr:uid="{00000000-0005-0000-0000-0000C1220000}"/>
    <cellStyle name="40% - Accent2 2 2 2 3 3 3 3" xfId="22189" xr:uid="{00000000-0005-0000-0000-0000C2220000}"/>
    <cellStyle name="40% - Accent2 2 2 2 3 3 4" xfId="7289" xr:uid="{00000000-0005-0000-0000-0000C3220000}"/>
    <cellStyle name="40% - Accent2 2 2 2 3 3 5" xfId="19602" xr:uid="{00000000-0005-0000-0000-0000C4220000}"/>
    <cellStyle name="40% - Accent2 2 2 2 3 4" xfId="7290" xr:uid="{00000000-0005-0000-0000-0000C5220000}"/>
    <cellStyle name="40% - Accent2 2 2 2 3 4 2" xfId="7291" xr:uid="{00000000-0005-0000-0000-0000C6220000}"/>
    <cellStyle name="40% - Accent2 2 2 2 3 4 2 2" xfId="7292" xr:uid="{00000000-0005-0000-0000-0000C7220000}"/>
    <cellStyle name="40% - Accent2 2 2 2 3 4 2 3" xfId="22834" xr:uid="{00000000-0005-0000-0000-0000C8220000}"/>
    <cellStyle name="40% - Accent2 2 2 2 3 4 3" xfId="7293" xr:uid="{00000000-0005-0000-0000-0000C9220000}"/>
    <cellStyle name="40% - Accent2 2 2 2 3 4 4" xfId="20251" xr:uid="{00000000-0005-0000-0000-0000CA220000}"/>
    <cellStyle name="40% - Accent2 2 2 2 3 5" xfId="7294" xr:uid="{00000000-0005-0000-0000-0000CB220000}"/>
    <cellStyle name="40% - Accent2 2 2 2 3 5 2" xfId="7295" xr:uid="{00000000-0005-0000-0000-0000CC220000}"/>
    <cellStyle name="40% - Accent2 2 2 2 3 5 3" xfId="21544" xr:uid="{00000000-0005-0000-0000-0000CD220000}"/>
    <cellStyle name="40% - Accent2 2 2 2 3 6" xfId="7296" xr:uid="{00000000-0005-0000-0000-0000CE220000}"/>
    <cellStyle name="40% - Accent2 2 2 2 3 7" xfId="18950" xr:uid="{00000000-0005-0000-0000-0000CF220000}"/>
    <cellStyle name="40% - Accent2 2 2 2 4" xfId="7297" xr:uid="{00000000-0005-0000-0000-0000D0220000}"/>
    <cellStyle name="40% - Accent2 2 2 2 4 2" xfId="7298" xr:uid="{00000000-0005-0000-0000-0000D1220000}"/>
    <cellStyle name="40% - Accent2 2 2 2 4 2 2" xfId="7299" xr:uid="{00000000-0005-0000-0000-0000D2220000}"/>
    <cellStyle name="40% - Accent2 2 2 2 4 2 2 2" xfId="7300" xr:uid="{00000000-0005-0000-0000-0000D3220000}"/>
    <cellStyle name="40% - Accent2 2 2 2 4 2 2 2 2" xfId="7301" xr:uid="{00000000-0005-0000-0000-0000D4220000}"/>
    <cellStyle name="40% - Accent2 2 2 2 4 2 2 2 3" xfId="23640" xr:uid="{00000000-0005-0000-0000-0000D5220000}"/>
    <cellStyle name="40% - Accent2 2 2 2 4 2 2 3" xfId="7302" xr:uid="{00000000-0005-0000-0000-0000D6220000}"/>
    <cellStyle name="40% - Accent2 2 2 2 4 2 2 4" xfId="21057" xr:uid="{00000000-0005-0000-0000-0000D7220000}"/>
    <cellStyle name="40% - Accent2 2 2 2 4 2 3" xfId="7303" xr:uid="{00000000-0005-0000-0000-0000D8220000}"/>
    <cellStyle name="40% - Accent2 2 2 2 4 2 3 2" xfId="7304" xr:uid="{00000000-0005-0000-0000-0000D9220000}"/>
    <cellStyle name="40% - Accent2 2 2 2 4 2 3 3" xfId="22350" xr:uid="{00000000-0005-0000-0000-0000DA220000}"/>
    <cellStyle name="40% - Accent2 2 2 2 4 2 4" xfId="7305" xr:uid="{00000000-0005-0000-0000-0000DB220000}"/>
    <cellStyle name="40% - Accent2 2 2 2 4 2 5" xfId="19763" xr:uid="{00000000-0005-0000-0000-0000DC220000}"/>
    <cellStyle name="40% - Accent2 2 2 2 4 3" xfId="7306" xr:uid="{00000000-0005-0000-0000-0000DD220000}"/>
    <cellStyle name="40% - Accent2 2 2 2 4 3 2" xfId="7307" xr:uid="{00000000-0005-0000-0000-0000DE220000}"/>
    <cellStyle name="40% - Accent2 2 2 2 4 3 2 2" xfId="7308" xr:uid="{00000000-0005-0000-0000-0000DF220000}"/>
    <cellStyle name="40% - Accent2 2 2 2 4 3 2 3" xfId="22995" xr:uid="{00000000-0005-0000-0000-0000E0220000}"/>
    <cellStyle name="40% - Accent2 2 2 2 4 3 3" xfId="7309" xr:uid="{00000000-0005-0000-0000-0000E1220000}"/>
    <cellStyle name="40% - Accent2 2 2 2 4 3 4" xfId="20412" xr:uid="{00000000-0005-0000-0000-0000E2220000}"/>
    <cellStyle name="40% - Accent2 2 2 2 4 4" xfId="7310" xr:uid="{00000000-0005-0000-0000-0000E3220000}"/>
    <cellStyle name="40% - Accent2 2 2 2 4 4 2" xfId="7311" xr:uid="{00000000-0005-0000-0000-0000E4220000}"/>
    <cellStyle name="40% - Accent2 2 2 2 4 4 3" xfId="21705" xr:uid="{00000000-0005-0000-0000-0000E5220000}"/>
    <cellStyle name="40% - Accent2 2 2 2 4 5" xfId="7312" xr:uid="{00000000-0005-0000-0000-0000E6220000}"/>
    <cellStyle name="40% - Accent2 2 2 2 4 6" xfId="19115" xr:uid="{00000000-0005-0000-0000-0000E7220000}"/>
    <cellStyle name="40% - Accent2 2 2 2 5" xfId="7313" xr:uid="{00000000-0005-0000-0000-0000E8220000}"/>
    <cellStyle name="40% - Accent2 2 2 2 5 2" xfId="7314" xr:uid="{00000000-0005-0000-0000-0000E9220000}"/>
    <cellStyle name="40% - Accent2 2 2 2 5 2 2" xfId="7315" xr:uid="{00000000-0005-0000-0000-0000EA220000}"/>
    <cellStyle name="40% - Accent2 2 2 2 5 2 2 2" xfId="7316" xr:uid="{00000000-0005-0000-0000-0000EB220000}"/>
    <cellStyle name="40% - Accent2 2 2 2 5 2 2 3" xfId="23317" xr:uid="{00000000-0005-0000-0000-0000EC220000}"/>
    <cellStyle name="40% - Accent2 2 2 2 5 2 3" xfId="7317" xr:uid="{00000000-0005-0000-0000-0000ED220000}"/>
    <cellStyle name="40% - Accent2 2 2 2 5 2 4" xfId="20734" xr:uid="{00000000-0005-0000-0000-0000EE220000}"/>
    <cellStyle name="40% - Accent2 2 2 2 5 3" xfId="7318" xr:uid="{00000000-0005-0000-0000-0000EF220000}"/>
    <cellStyle name="40% - Accent2 2 2 2 5 3 2" xfId="7319" xr:uid="{00000000-0005-0000-0000-0000F0220000}"/>
    <cellStyle name="40% - Accent2 2 2 2 5 3 3" xfId="22027" xr:uid="{00000000-0005-0000-0000-0000F1220000}"/>
    <cellStyle name="40% - Accent2 2 2 2 5 4" xfId="7320" xr:uid="{00000000-0005-0000-0000-0000F2220000}"/>
    <cellStyle name="40% - Accent2 2 2 2 5 5" xfId="19441" xr:uid="{00000000-0005-0000-0000-0000F3220000}"/>
    <cellStyle name="40% - Accent2 2 2 2 6" xfId="7321" xr:uid="{00000000-0005-0000-0000-0000F4220000}"/>
    <cellStyle name="40% - Accent2 2 2 2 6 2" xfId="7322" xr:uid="{00000000-0005-0000-0000-0000F5220000}"/>
    <cellStyle name="40% - Accent2 2 2 2 6 2 2" xfId="7323" xr:uid="{00000000-0005-0000-0000-0000F6220000}"/>
    <cellStyle name="40% - Accent2 2 2 2 6 2 3" xfId="22672" xr:uid="{00000000-0005-0000-0000-0000F7220000}"/>
    <cellStyle name="40% - Accent2 2 2 2 6 3" xfId="7324" xr:uid="{00000000-0005-0000-0000-0000F8220000}"/>
    <cellStyle name="40% - Accent2 2 2 2 6 4" xfId="20089" xr:uid="{00000000-0005-0000-0000-0000F9220000}"/>
    <cellStyle name="40% - Accent2 2 2 2 7" xfId="7325" xr:uid="{00000000-0005-0000-0000-0000FA220000}"/>
    <cellStyle name="40% - Accent2 2 2 2 7 2" xfId="7326" xr:uid="{00000000-0005-0000-0000-0000FB220000}"/>
    <cellStyle name="40% - Accent2 2 2 2 7 3" xfId="21382" xr:uid="{00000000-0005-0000-0000-0000FC220000}"/>
    <cellStyle name="40% - Accent2 2 2 2 8" xfId="7327" xr:uid="{00000000-0005-0000-0000-0000FD220000}"/>
    <cellStyle name="40% - Accent2 2 2 2 9" xfId="18768" xr:uid="{00000000-0005-0000-0000-0000FE220000}"/>
    <cellStyle name="40% - Accent2 2 2 3" xfId="7328" xr:uid="{00000000-0005-0000-0000-0000FF220000}"/>
    <cellStyle name="40% - Accent2 2 2 3 2" xfId="7329" xr:uid="{00000000-0005-0000-0000-000000230000}"/>
    <cellStyle name="40% - Accent2 2 2 3 2 2" xfId="7330" xr:uid="{00000000-0005-0000-0000-000001230000}"/>
    <cellStyle name="40% - Accent2 2 2 3 2 2 2" xfId="7331" xr:uid="{00000000-0005-0000-0000-000002230000}"/>
    <cellStyle name="40% - Accent2 2 2 3 2 2 2 2" xfId="7332" xr:uid="{00000000-0005-0000-0000-000003230000}"/>
    <cellStyle name="40% - Accent2 2 2 3 2 2 2 2 2" xfId="7333" xr:uid="{00000000-0005-0000-0000-000004230000}"/>
    <cellStyle name="40% - Accent2 2 2 3 2 2 2 2 2 2" xfId="7334" xr:uid="{00000000-0005-0000-0000-000005230000}"/>
    <cellStyle name="40% - Accent2 2 2 3 2 2 2 2 2 3" xfId="23841" xr:uid="{00000000-0005-0000-0000-000006230000}"/>
    <cellStyle name="40% - Accent2 2 2 3 2 2 2 2 3" xfId="7335" xr:uid="{00000000-0005-0000-0000-000007230000}"/>
    <cellStyle name="40% - Accent2 2 2 3 2 2 2 2 4" xfId="21258" xr:uid="{00000000-0005-0000-0000-000008230000}"/>
    <cellStyle name="40% - Accent2 2 2 3 2 2 2 3" xfId="7336" xr:uid="{00000000-0005-0000-0000-000009230000}"/>
    <cellStyle name="40% - Accent2 2 2 3 2 2 2 3 2" xfId="7337" xr:uid="{00000000-0005-0000-0000-00000A230000}"/>
    <cellStyle name="40% - Accent2 2 2 3 2 2 2 3 3" xfId="22551" xr:uid="{00000000-0005-0000-0000-00000B230000}"/>
    <cellStyle name="40% - Accent2 2 2 3 2 2 2 4" xfId="7338" xr:uid="{00000000-0005-0000-0000-00000C230000}"/>
    <cellStyle name="40% - Accent2 2 2 3 2 2 2 5" xfId="19964" xr:uid="{00000000-0005-0000-0000-00000D230000}"/>
    <cellStyle name="40% - Accent2 2 2 3 2 2 3" xfId="7339" xr:uid="{00000000-0005-0000-0000-00000E230000}"/>
    <cellStyle name="40% - Accent2 2 2 3 2 2 3 2" xfId="7340" xr:uid="{00000000-0005-0000-0000-00000F230000}"/>
    <cellStyle name="40% - Accent2 2 2 3 2 2 3 2 2" xfId="7341" xr:uid="{00000000-0005-0000-0000-000010230000}"/>
    <cellStyle name="40% - Accent2 2 2 3 2 2 3 2 3" xfId="23196" xr:uid="{00000000-0005-0000-0000-000011230000}"/>
    <cellStyle name="40% - Accent2 2 2 3 2 2 3 3" xfId="7342" xr:uid="{00000000-0005-0000-0000-000012230000}"/>
    <cellStyle name="40% - Accent2 2 2 3 2 2 3 4" xfId="20613" xr:uid="{00000000-0005-0000-0000-000013230000}"/>
    <cellStyle name="40% - Accent2 2 2 3 2 2 4" xfId="7343" xr:uid="{00000000-0005-0000-0000-000014230000}"/>
    <cellStyle name="40% - Accent2 2 2 3 2 2 4 2" xfId="7344" xr:uid="{00000000-0005-0000-0000-000015230000}"/>
    <cellStyle name="40% - Accent2 2 2 3 2 2 4 3" xfId="21906" xr:uid="{00000000-0005-0000-0000-000016230000}"/>
    <cellStyle name="40% - Accent2 2 2 3 2 2 5" xfId="7345" xr:uid="{00000000-0005-0000-0000-000017230000}"/>
    <cellStyle name="40% - Accent2 2 2 3 2 2 6" xfId="19316" xr:uid="{00000000-0005-0000-0000-000018230000}"/>
    <cellStyle name="40% - Accent2 2 2 3 2 3" xfId="7346" xr:uid="{00000000-0005-0000-0000-000019230000}"/>
    <cellStyle name="40% - Accent2 2 2 3 2 3 2" xfId="7347" xr:uid="{00000000-0005-0000-0000-00001A230000}"/>
    <cellStyle name="40% - Accent2 2 2 3 2 3 2 2" xfId="7348" xr:uid="{00000000-0005-0000-0000-00001B230000}"/>
    <cellStyle name="40% - Accent2 2 2 3 2 3 2 2 2" xfId="7349" xr:uid="{00000000-0005-0000-0000-00001C230000}"/>
    <cellStyle name="40% - Accent2 2 2 3 2 3 2 2 3" xfId="23519" xr:uid="{00000000-0005-0000-0000-00001D230000}"/>
    <cellStyle name="40% - Accent2 2 2 3 2 3 2 3" xfId="7350" xr:uid="{00000000-0005-0000-0000-00001E230000}"/>
    <cellStyle name="40% - Accent2 2 2 3 2 3 2 4" xfId="20936" xr:uid="{00000000-0005-0000-0000-00001F230000}"/>
    <cellStyle name="40% - Accent2 2 2 3 2 3 3" xfId="7351" xr:uid="{00000000-0005-0000-0000-000020230000}"/>
    <cellStyle name="40% - Accent2 2 2 3 2 3 3 2" xfId="7352" xr:uid="{00000000-0005-0000-0000-000021230000}"/>
    <cellStyle name="40% - Accent2 2 2 3 2 3 3 3" xfId="22229" xr:uid="{00000000-0005-0000-0000-000022230000}"/>
    <cellStyle name="40% - Accent2 2 2 3 2 3 4" xfId="7353" xr:uid="{00000000-0005-0000-0000-000023230000}"/>
    <cellStyle name="40% - Accent2 2 2 3 2 3 5" xfId="19642" xr:uid="{00000000-0005-0000-0000-000024230000}"/>
    <cellStyle name="40% - Accent2 2 2 3 2 4" xfId="7354" xr:uid="{00000000-0005-0000-0000-000025230000}"/>
    <cellStyle name="40% - Accent2 2 2 3 2 4 2" xfId="7355" xr:uid="{00000000-0005-0000-0000-000026230000}"/>
    <cellStyle name="40% - Accent2 2 2 3 2 4 2 2" xfId="7356" xr:uid="{00000000-0005-0000-0000-000027230000}"/>
    <cellStyle name="40% - Accent2 2 2 3 2 4 2 3" xfId="22874" xr:uid="{00000000-0005-0000-0000-000028230000}"/>
    <cellStyle name="40% - Accent2 2 2 3 2 4 3" xfId="7357" xr:uid="{00000000-0005-0000-0000-000029230000}"/>
    <cellStyle name="40% - Accent2 2 2 3 2 4 4" xfId="20291" xr:uid="{00000000-0005-0000-0000-00002A230000}"/>
    <cellStyle name="40% - Accent2 2 2 3 2 5" xfId="7358" xr:uid="{00000000-0005-0000-0000-00002B230000}"/>
    <cellStyle name="40% - Accent2 2 2 3 2 5 2" xfId="7359" xr:uid="{00000000-0005-0000-0000-00002C230000}"/>
    <cellStyle name="40% - Accent2 2 2 3 2 5 3" xfId="21584" xr:uid="{00000000-0005-0000-0000-00002D230000}"/>
    <cellStyle name="40% - Accent2 2 2 3 2 6" xfId="7360" xr:uid="{00000000-0005-0000-0000-00002E230000}"/>
    <cellStyle name="40% - Accent2 2 2 3 2 7" xfId="18990" xr:uid="{00000000-0005-0000-0000-00002F230000}"/>
    <cellStyle name="40% - Accent2 2 2 3 3" xfId="7361" xr:uid="{00000000-0005-0000-0000-000030230000}"/>
    <cellStyle name="40% - Accent2 2 2 3 3 2" xfId="7362" xr:uid="{00000000-0005-0000-0000-000031230000}"/>
    <cellStyle name="40% - Accent2 2 2 3 3 2 2" xfId="7363" xr:uid="{00000000-0005-0000-0000-000032230000}"/>
    <cellStyle name="40% - Accent2 2 2 3 3 2 2 2" xfId="7364" xr:uid="{00000000-0005-0000-0000-000033230000}"/>
    <cellStyle name="40% - Accent2 2 2 3 3 2 2 2 2" xfId="7365" xr:uid="{00000000-0005-0000-0000-000034230000}"/>
    <cellStyle name="40% - Accent2 2 2 3 3 2 2 2 3" xfId="23680" xr:uid="{00000000-0005-0000-0000-000035230000}"/>
    <cellStyle name="40% - Accent2 2 2 3 3 2 2 3" xfId="7366" xr:uid="{00000000-0005-0000-0000-000036230000}"/>
    <cellStyle name="40% - Accent2 2 2 3 3 2 2 4" xfId="21097" xr:uid="{00000000-0005-0000-0000-000037230000}"/>
    <cellStyle name="40% - Accent2 2 2 3 3 2 3" xfId="7367" xr:uid="{00000000-0005-0000-0000-000038230000}"/>
    <cellStyle name="40% - Accent2 2 2 3 3 2 3 2" xfId="7368" xr:uid="{00000000-0005-0000-0000-000039230000}"/>
    <cellStyle name="40% - Accent2 2 2 3 3 2 3 3" xfId="22390" xr:uid="{00000000-0005-0000-0000-00003A230000}"/>
    <cellStyle name="40% - Accent2 2 2 3 3 2 4" xfId="7369" xr:uid="{00000000-0005-0000-0000-00003B230000}"/>
    <cellStyle name="40% - Accent2 2 2 3 3 2 5" xfId="19803" xr:uid="{00000000-0005-0000-0000-00003C230000}"/>
    <cellStyle name="40% - Accent2 2 2 3 3 3" xfId="7370" xr:uid="{00000000-0005-0000-0000-00003D230000}"/>
    <cellStyle name="40% - Accent2 2 2 3 3 3 2" xfId="7371" xr:uid="{00000000-0005-0000-0000-00003E230000}"/>
    <cellStyle name="40% - Accent2 2 2 3 3 3 2 2" xfId="7372" xr:uid="{00000000-0005-0000-0000-00003F230000}"/>
    <cellStyle name="40% - Accent2 2 2 3 3 3 2 3" xfId="23035" xr:uid="{00000000-0005-0000-0000-000040230000}"/>
    <cellStyle name="40% - Accent2 2 2 3 3 3 3" xfId="7373" xr:uid="{00000000-0005-0000-0000-000041230000}"/>
    <cellStyle name="40% - Accent2 2 2 3 3 3 4" xfId="20452" xr:uid="{00000000-0005-0000-0000-000042230000}"/>
    <cellStyle name="40% - Accent2 2 2 3 3 4" xfId="7374" xr:uid="{00000000-0005-0000-0000-000043230000}"/>
    <cellStyle name="40% - Accent2 2 2 3 3 4 2" xfId="7375" xr:uid="{00000000-0005-0000-0000-000044230000}"/>
    <cellStyle name="40% - Accent2 2 2 3 3 4 3" xfId="21745" xr:uid="{00000000-0005-0000-0000-000045230000}"/>
    <cellStyle name="40% - Accent2 2 2 3 3 5" xfId="7376" xr:uid="{00000000-0005-0000-0000-000046230000}"/>
    <cellStyle name="40% - Accent2 2 2 3 3 6" xfId="19155" xr:uid="{00000000-0005-0000-0000-000047230000}"/>
    <cellStyle name="40% - Accent2 2 2 3 4" xfId="7377" xr:uid="{00000000-0005-0000-0000-000048230000}"/>
    <cellStyle name="40% - Accent2 2 2 3 4 2" xfId="7378" xr:uid="{00000000-0005-0000-0000-000049230000}"/>
    <cellStyle name="40% - Accent2 2 2 3 4 2 2" xfId="7379" xr:uid="{00000000-0005-0000-0000-00004A230000}"/>
    <cellStyle name="40% - Accent2 2 2 3 4 2 2 2" xfId="7380" xr:uid="{00000000-0005-0000-0000-00004B230000}"/>
    <cellStyle name="40% - Accent2 2 2 3 4 2 2 3" xfId="23358" xr:uid="{00000000-0005-0000-0000-00004C230000}"/>
    <cellStyle name="40% - Accent2 2 2 3 4 2 3" xfId="7381" xr:uid="{00000000-0005-0000-0000-00004D230000}"/>
    <cellStyle name="40% - Accent2 2 2 3 4 2 4" xfId="20775" xr:uid="{00000000-0005-0000-0000-00004E230000}"/>
    <cellStyle name="40% - Accent2 2 2 3 4 3" xfId="7382" xr:uid="{00000000-0005-0000-0000-00004F230000}"/>
    <cellStyle name="40% - Accent2 2 2 3 4 3 2" xfId="7383" xr:uid="{00000000-0005-0000-0000-000050230000}"/>
    <cellStyle name="40% - Accent2 2 2 3 4 3 3" xfId="22068" xr:uid="{00000000-0005-0000-0000-000051230000}"/>
    <cellStyle name="40% - Accent2 2 2 3 4 4" xfId="7384" xr:uid="{00000000-0005-0000-0000-000052230000}"/>
    <cellStyle name="40% - Accent2 2 2 3 4 5" xfId="19481" xr:uid="{00000000-0005-0000-0000-000053230000}"/>
    <cellStyle name="40% - Accent2 2 2 3 5" xfId="7385" xr:uid="{00000000-0005-0000-0000-000054230000}"/>
    <cellStyle name="40% - Accent2 2 2 3 5 2" xfId="7386" xr:uid="{00000000-0005-0000-0000-000055230000}"/>
    <cellStyle name="40% - Accent2 2 2 3 5 2 2" xfId="7387" xr:uid="{00000000-0005-0000-0000-000056230000}"/>
    <cellStyle name="40% - Accent2 2 2 3 5 2 3" xfId="22713" xr:uid="{00000000-0005-0000-0000-000057230000}"/>
    <cellStyle name="40% - Accent2 2 2 3 5 3" xfId="7388" xr:uid="{00000000-0005-0000-0000-000058230000}"/>
    <cellStyle name="40% - Accent2 2 2 3 5 4" xfId="20130" xr:uid="{00000000-0005-0000-0000-000059230000}"/>
    <cellStyle name="40% - Accent2 2 2 3 6" xfId="7389" xr:uid="{00000000-0005-0000-0000-00005A230000}"/>
    <cellStyle name="40% - Accent2 2 2 3 6 2" xfId="7390" xr:uid="{00000000-0005-0000-0000-00005B230000}"/>
    <cellStyle name="40% - Accent2 2 2 3 6 3" xfId="21423" xr:uid="{00000000-0005-0000-0000-00005C230000}"/>
    <cellStyle name="40% - Accent2 2 2 3 7" xfId="7391" xr:uid="{00000000-0005-0000-0000-00005D230000}"/>
    <cellStyle name="40% - Accent2 2 2 3 8" xfId="18824" xr:uid="{00000000-0005-0000-0000-00005E230000}"/>
    <cellStyle name="40% - Accent2 2 2 4" xfId="7392" xr:uid="{00000000-0005-0000-0000-00005F230000}"/>
    <cellStyle name="40% - Accent2 2 2 4 2" xfId="7393" xr:uid="{00000000-0005-0000-0000-000060230000}"/>
    <cellStyle name="40% - Accent2 2 2 4 2 2" xfId="7394" xr:uid="{00000000-0005-0000-0000-000061230000}"/>
    <cellStyle name="40% - Accent2 2 2 4 2 2 2" xfId="7395" xr:uid="{00000000-0005-0000-0000-000062230000}"/>
    <cellStyle name="40% - Accent2 2 2 4 2 2 2 2" xfId="7396" xr:uid="{00000000-0005-0000-0000-000063230000}"/>
    <cellStyle name="40% - Accent2 2 2 4 2 2 2 2 2" xfId="7397" xr:uid="{00000000-0005-0000-0000-000064230000}"/>
    <cellStyle name="40% - Accent2 2 2 4 2 2 2 2 3" xfId="23761" xr:uid="{00000000-0005-0000-0000-000065230000}"/>
    <cellStyle name="40% - Accent2 2 2 4 2 2 2 3" xfId="7398" xr:uid="{00000000-0005-0000-0000-000066230000}"/>
    <cellStyle name="40% - Accent2 2 2 4 2 2 2 4" xfId="21178" xr:uid="{00000000-0005-0000-0000-000067230000}"/>
    <cellStyle name="40% - Accent2 2 2 4 2 2 3" xfId="7399" xr:uid="{00000000-0005-0000-0000-000068230000}"/>
    <cellStyle name="40% - Accent2 2 2 4 2 2 3 2" xfId="7400" xr:uid="{00000000-0005-0000-0000-000069230000}"/>
    <cellStyle name="40% - Accent2 2 2 4 2 2 3 3" xfId="22471" xr:uid="{00000000-0005-0000-0000-00006A230000}"/>
    <cellStyle name="40% - Accent2 2 2 4 2 2 4" xfId="7401" xr:uid="{00000000-0005-0000-0000-00006B230000}"/>
    <cellStyle name="40% - Accent2 2 2 4 2 2 5" xfId="19884" xr:uid="{00000000-0005-0000-0000-00006C230000}"/>
    <cellStyle name="40% - Accent2 2 2 4 2 3" xfId="7402" xr:uid="{00000000-0005-0000-0000-00006D230000}"/>
    <cellStyle name="40% - Accent2 2 2 4 2 3 2" xfId="7403" xr:uid="{00000000-0005-0000-0000-00006E230000}"/>
    <cellStyle name="40% - Accent2 2 2 4 2 3 2 2" xfId="7404" xr:uid="{00000000-0005-0000-0000-00006F230000}"/>
    <cellStyle name="40% - Accent2 2 2 4 2 3 2 3" xfId="23116" xr:uid="{00000000-0005-0000-0000-000070230000}"/>
    <cellStyle name="40% - Accent2 2 2 4 2 3 3" xfId="7405" xr:uid="{00000000-0005-0000-0000-000071230000}"/>
    <cellStyle name="40% - Accent2 2 2 4 2 3 4" xfId="20533" xr:uid="{00000000-0005-0000-0000-000072230000}"/>
    <cellStyle name="40% - Accent2 2 2 4 2 4" xfId="7406" xr:uid="{00000000-0005-0000-0000-000073230000}"/>
    <cellStyle name="40% - Accent2 2 2 4 2 4 2" xfId="7407" xr:uid="{00000000-0005-0000-0000-000074230000}"/>
    <cellStyle name="40% - Accent2 2 2 4 2 4 3" xfId="21826" xr:uid="{00000000-0005-0000-0000-000075230000}"/>
    <cellStyle name="40% - Accent2 2 2 4 2 5" xfId="7408" xr:uid="{00000000-0005-0000-0000-000076230000}"/>
    <cellStyle name="40% - Accent2 2 2 4 2 6" xfId="19236" xr:uid="{00000000-0005-0000-0000-000077230000}"/>
    <cellStyle name="40% - Accent2 2 2 4 3" xfId="7409" xr:uid="{00000000-0005-0000-0000-000078230000}"/>
    <cellStyle name="40% - Accent2 2 2 4 3 2" xfId="7410" xr:uid="{00000000-0005-0000-0000-000079230000}"/>
    <cellStyle name="40% - Accent2 2 2 4 3 2 2" xfId="7411" xr:uid="{00000000-0005-0000-0000-00007A230000}"/>
    <cellStyle name="40% - Accent2 2 2 4 3 2 2 2" xfId="7412" xr:uid="{00000000-0005-0000-0000-00007B230000}"/>
    <cellStyle name="40% - Accent2 2 2 4 3 2 2 3" xfId="23439" xr:uid="{00000000-0005-0000-0000-00007C230000}"/>
    <cellStyle name="40% - Accent2 2 2 4 3 2 3" xfId="7413" xr:uid="{00000000-0005-0000-0000-00007D230000}"/>
    <cellStyle name="40% - Accent2 2 2 4 3 2 4" xfId="20856" xr:uid="{00000000-0005-0000-0000-00007E230000}"/>
    <cellStyle name="40% - Accent2 2 2 4 3 3" xfId="7414" xr:uid="{00000000-0005-0000-0000-00007F230000}"/>
    <cellStyle name="40% - Accent2 2 2 4 3 3 2" xfId="7415" xr:uid="{00000000-0005-0000-0000-000080230000}"/>
    <cellStyle name="40% - Accent2 2 2 4 3 3 3" xfId="22149" xr:uid="{00000000-0005-0000-0000-000081230000}"/>
    <cellStyle name="40% - Accent2 2 2 4 3 4" xfId="7416" xr:uid="{00000000-0005-0000-0000-000082230000}"/>
    <cellStyle name="40% - Accent2 2 2 4 3 5" xfId="19562" xr:uid="{00000000-0005-0000-0000-000083230000}"/>
    <cellStyle name="40% - Accent2 2 2 4 4" xfId="7417" xr:uid="{00000000-0005-0000-0000-000084230000}"/>
    <cellStyle name="40% - Accent2 2 2 4 4 2" xfId="7418" xr:uid="{00000000-0005-0000-0000-000085230000}"/>
    <cellStyle name="40% - Accent2 2 2 4 4 2 2" xfId="7419" xr:uid="{00000000-0005-0000-0000-000086230000}"/>
    <cellStyle name="40% - Accent2 2 2 4 4 2 3" xfId="22794" xr:uid="{00000000-0005-0000-0000-000087230000}"/>
    <cellStyle name="40% - Accent2 2 2 4 4 3" xfId="7420" xr:uid="{00000000-0005-0000-0000-000088230000}"/>
    <cellStyle name="40% - Accent2 2 2 4 4 4" xfId="20211" xr:uid="{00000000-0005-0000-0000-000089230000}"/>
    <cellStyle name="40% - Accent2 2 2 4 5" xfId="7421" xr:uid="{00000000-0005-0000-0000-00008A230000}"/>
    <cellStyle name="40% - Accent2 2 2 4 5 2" xfId="7422" xr:uid="{00000000-0005-0000-0000-00008B230000}"/>
    <cellStyle name="40% - Accent2 2 2 4 5 3" xfId="21504" xr:uid="{00000000-0005-0000-0000-00008C230000}"/>
    <cellStyle name="40% - Accent2 2 2 4 6" xfId="7423" xr:uid="{00000000-0005-0000-0000-00008D230000}"/>
    <cellStyle name="40% - Accent2 2 2 4 7" xfId="18910" xr:uid="{00000000-0005-0000-0000-00008E230000}"/>
    <cellStyle name="40% - Accent2 2 2 5" xfId="7424" xr:uid="{00000000-0005-0000-0000-00008F230000}"/>
    <cellStyle name="40% - Accent2 2 2 5 2" xfId="7425" xr:uid="{00000000-0005-0000-0000-000090230000}"/>
    <cellStyle name="40% - Accent2 2 2 5 2 2" xfId="7426" xr:uid="{00000000-0005-0000-0000-000091230000}"/>
    <cellStyle name="40% - Accent2 2 2 5 2 2 2" xfId="7427" xr:uid="{00000000-0005-0000-0000-000092230000}"/>
    <cellStyle name="40% - Accent2 2 2 5 2 2 2 2" xfId="7428" xr:uid="{00000000-0005-0000-0000-000093230000}"/>
    <cellStyle name="40% - Accent2 2 2 5 2 2 2 3" xfId="23600" xr:uid="{00000000-0005-0000-0000-000094230000}"/>
    <cellStyle name="40% - Accent2 2 2 5 2 2 3" xfId="7429" xr:uid="{00000000-0005-0000-0000-000095230000}"/>
    <cellStyle name="40% - Accent2 2 2 5 2 2 4" xfId="21017" xr:uid="{00000000-0005-0000-0000-000096230000}"/>
    <cellStyle name="40% - Accent2 2 2 5 2 3" xfId="7430" xr:uid="{00000000-0005-0000-0000-000097230000}"/>
    <cellStyle name="40% - Accent2 2 2 5 2 3 2" xfId="7431" xr:uid="{00000000-0005-0000-0000-000098230000}"/>
    <cellStyle name="40% - Accent2 2 2 5 2 3 3" xfId="22310" xr:uid="{00000000-0005-0000-0000-000099230000}"/>
    <cellStyle name="40% - Accent2 2 2 5 2 4" xfId="7432" xr:uid="{00000000-0005-0000-0000-00009A230000}"/>
    <cellStyle name="40% - Accent2 2 2 5 2 5" xfId="19723" xr:uid="{00000000-0005-0000-0000-00009B230000}"/>
    <cellStyle name="40% - Accent2 2 2 5 3" xfId="7433" xr:uid="{00000000-0005-0000-0000-00009C230000}"/>
    <cellStyle name="40% - Accent2 2 2 5 3 2" xfId="7434" xr:uid="{00000000-0005-0000-0000-00009D230000}"/>
    <cellStyle name="40% - Accent2 2 2 5 3 2 2" xfId="7435" xr:uid="{00000000-0005-0000-0000-00009E230000}"/>
    <cellStyle name="40% - Accent2 2 2 5 3 2 3" xfId="22955" xr:uid="{00000000-0005-0000-0000-00009F230000}"/>
    <cellStyle name="40% - Accent2 2 2 5 3 3" xfId="7436" xr:uid="{00000000-0005-0000-0000-0000A0230000}"/>
    <cellStyle name="40% - Accent2 2 2 5 3 4" xfId="20372" xr:uid="{00000000-0005-0000-0000-0000A1230000}"/>
    <cellStyle name="40% - Accent2 2 2 5 4" xfId="7437" xr:uid="{00000000-0005-0000-0000-0000A2230000}"/>
    <cellStyle name="40% - Accent2 2 2 5 4 2" xfId="7438" xr:uid="{00000000-0005-0000-0000-0000A3230000}"/>
    <cellStyle name="40% - Accent2 2 2 5 4 3" xfId="21665" xr:uid="{00000000-0005-0000-0000-0000A4230000}"/>
    <cellStyle name="40% - Accent2 2 2 5 5" xfId="7439" xr:uid="{00000000-0005-0000-0000-0000A5230000}"/>
    <cellStyle name="40% - Accent2 2 2 5 6" xfId="19075" xr:uid="{00000000-0005-0000-0000-0000A6230000}"/>
    <cellStyle name="40% - Accent2 2 2 6" xfId="7440" xr:uid="{00000000-0005-0000-0000-0000A7230000}"/>
    <cellStyle name="40% - Accent2 2 2 6 2" xfId="7441" xr:uid="{00000000-0005-0000-0000-0000A8230000}"/>
    <cellStyle name="40% - Accent2 2 2 6 2 2" xfId="7442" xr:uid="{00000000-0005-0000-0000-0000A9230000}"/>
    <cellStyle name="40% - Accent2 2 2 6 2 2 2" xfId="7443" xr:uid="{00000000-0005-0000-0000-0000AA230000}"/>
    <cellStyle name="40% - Accent2 2 2 6 2 2 3" xfId="23277" xr:uid="{00000000-0005-0000-0000-0000AB230000}"/>
    <cellStyle name="40% - Accent2 2 2 6 2 3" xfId="7444" xr:uid="{00000000-0005-0000-0000-0000AC230000}"/>
    <cellStyle name="40% - Accent2 2 2 6 2 4" xfId="20694" xr:uid="{00000000-0005-0000-0000-0000AD230000}"/>
    <cellStyle name="40% - Accent2 2 2 6 3" xfId="7445" xr:uid="{00000000-0005-0000-0000-0000AE230000}"/>
    <cellStyle name="40% - Accent2 2 2 6 3 2" xfId="7446" xr:uid="{00000000-0005-0000-0000-0000AF230000}"/>
    <cellStyle name="40% - Accent2 2 2 6 3 3" xfId="21987" xr:uid="{00000000-0005-0000-0000-0000B0230000}"/>
    <cellStyle name="40% - Accent2 2 2 6 4" xfId="7447" xr:uid="{00000000-0005-0000-0000-0000B1230000}"/>
    <cellStyle name="40% - Accent2 2 2 6 5" xfId="19401" xr:uid="{00000000-0005-0000-0000-0000B2230000}"/>
    <cellStyle name="40% - Accent2 2 2 7" xfId="7448" xr:uid="{00000000-0005-0000-0000-0000B3230000}"/>
    <cellStyle name="40% - Accent2 2 2 7 2" xfId="7449" xr:uid="{00000000-0005-0000-0000-0000B4230000}"/>
    <cellStyle name="40% - Accent2 2 2 7 2 2" xfId="7450" xr:uid="{00000000-0005-0000-0000-0000B5230000}"/>
    <cellStyle name="40% - Accent2 2 2 7 2 3" xfId="22632" xr:uid="{00000000-0005-0000-0000-0000B6230000}"/>
    <cellStyle name="40% - Accent2 2 2 7 3" xfId="7451" xr:uid="{00000000-0005-0000-0000-0000B7230000}"/>
    <cellStyle name="40% - Accent2 2 2 7 4" xfId="20049" xr:uid="{00000000-0005-0000-0000-0000B8230000}"/>
    <cellStyle name="40% - Accent2 2 2 8" xfId="7452" xr:uid="{00000000-0005-0000-0000-0000B9230000}"/>
    <cellStyle name="40% - Accent2 2 2 8 2" xfId="7453" xr:uid="{00000000-0005-0000-0000-0000BA230000}"/>
    <cellStyle name="40% - Accent2 2 2 8 3" xfId="21342" xr:uid="{00000000-0005-0000-0000-0000BB230000}"/>
    <cellStyle name="40% - Accent2 2 2 9" xfId="7454" xr:uid="{00000000-0005-0000-0000-0000BC230000}"/>
    <cellStyle name="40% - Accent2 2 3" xfId="7455" xr:uid="{00000000-0005-0000-0000-0000BD230000}"/>
    <cellStyle name="40% - Accent2 2 3 2" xfId="7456" xr:uid="{00000000-0005-0000-0000-0000BE230000}"/>
    <cellStyle name="40% - Accent2 2 3 2 2" xfId="7457" xr:uid="{00000000-0005-0000-0000-0000BF230000}"/>
    <cellStyle name="40% - Accent2 2 3 2 2 2" xfId="7458" xr:uid="{00000000-0005-0000-0000-0000C0230000}"/>
    <cellStyle name="40% - Accent2 2 3 2 2 2 2" xfId="7459" xr:uid="{00000000-0005-0000-0000-0000C1230000}"/>
    <cellStyle name="40% - Accent2 2 3 2 2 2 2 2" xfId="7460" xr:uid="{00000000-0005-0000-0000-0000C2230000}"/>
    <cellStyle name="40% - Accent2 2 3 2 2 2 2 2 2" xfId="7461" xr:uid="{00000000-0005-0000-0000-0000C3230000}"/>
    <cellStyle name="40% - Accent2 2 3 2 2 2 2 2 2 2" xfId="7462" xr:uid="{00000000-0005-0000-0000-0000C4230000}"/>
    <cellStyle name="40% - Accent2 2 3 2 2 2 2 2 2 3" xfId="23861" xr:uid="{00000000-0005-0000-0000-0000C5230000}"/>
    <cellStyle name="40% - Accent2 2 3 2 2 2 2 2 3" xfId="7463" xr:uid="{00000000-0005-0000-0000-0000C6230000}"/>
    <cellStyle name="40% - Accent2 2 3 2 2 2 2 2 4" xfId="21278" xr:uid="{00000000-0005-0000-0000-0000C7230000}"/>
    <cellStyle name="40% - Accent2 2 3 2 2 2 2 3" xfId="7464" xr:uid="{00000000-0005-0000-0000-0000C8230000}"/>
    <cellStyle name="40% - Accent2 2 3 2 2 2 2 3 2" xfId="7465" xr:uid="{00000000-0005-0000-0000-0000C9230000}"/>
    <cellStyle name="40% - Accent2 2 3 2 2 2 2 3 3" xfId="22571" xr:uid="{00000000-0005-0000-0000-0000CA230000}"/>
    <cellStyle name="40% - Accent2 2 3 2 2 2 2 4" xfId="7466" xr:uid="{00000000-0005-0000-0000-0000CB230000}"/>
    <cellStyle name="40% - Accent2 2 3 2 2 2 2 5" xfId="19984" xr:uid="{00000000-0005-0000-0000-0000CC230000}"/>
    <cellStyle name="40% - Accent2 2 3 2 2 2 3" xfId="7467" xr:uid="{00000000-0005-0000-0000-0000CD230000}"/>
    <cellStyle name="40% - Accent2 2 3 2 2 2 3 2" xfId="7468" xr:uid="{00000000-0005-0000-0000-0000CE230000}"/>
    <cellStyle name="40% - Accent2 2 3 2 2 2 3 2 2" xfId="7469" xr:uid="{00000000-0005-0000-0000-0000CF230000}"/>
    <cellStyle name="40% - Accent2 2 3 2 2 2 3 2 3" xfId="23216" xr:uid="{00000000-0005-0000-0000-0000D0230000}"/>
    <cellStyle name="40% - Accent2 2 3 2 2 2 3 3" xfId="7470" xr:uid="{00000000-0005-0000-0000-0000D1230000}"/>
    <cellStyle name="40% - Accent2 2 3 2 2 2 3 4" xfId="20633" xr:uid="{00000000-0005-0000-0000-0000D2230000}"/>
    <cellStyle name="40% - Accent2 2 3 2 2 2 4" xfId="7471" xr:uid="{00000000-0005-0000-0000-0000D3230000}"/>
    <cellStyle name="40% - Accent2 2 3 2 2 2 4 2" xfId="7472" xr:uid="{00000000-0005-0000-0000-0000D4230000}"/>
    <cellStyle name="40% - Accent2 2 3 2 2 2 4 3" xfId="21926" xr:uid="{00000000-0005-0000-0000-0000D5230000}"/>
    <cellStyle name="40% - Accent2 2 3 2 2 2 5" xfId="7473" xr:uid="{00000000-0005-0000-0000-0000D6230000}"/>
    <cellStyle name="40% - Accent2 2 3 2 2 2 6" xfId="19336" xr:uid="{00000000-0005-0000-0000-0000D7230000}"/>
    <cellStyle name="40% - Accent2 2 3 2 2 3" xfId="7474" xr:uid="{00000000-0005-0000-0000-0000D8230000}"/>
    <cellStyle name="40% - Accent2 2 3 2 2 3 2" xfId="7475" xr:uid="{00000000-0005-0000-0000-0000D9230000}"/>
    <cellStyle name="40% - Accent2 2 3 2 2 3 2 2" xfId="7476" xr:uid="{00000000-0005-0000-0000-0000DA230000}"/>
    <cellStyle name="40% - Accent2 2 3 2 2 3 2 2 2" xfId="7477" xr:uid="{00000000-0005-0000-0000-0000DB230000}"/>
    <cellStyle name="40% - Accent2 2 3 2 2 3 2 2 3" xfId="23539" xr:uid="{00000000-0005-0000-0000-0000DC230000}"/>
    <cellStyle name="40% - Accent2 2 3 2 2 3 2 3" xfId="7478" xr:uid="{00000000-0005-0000-0000-0000DD230000}"/>
    <cellStyle name="40% - Accent2 2 3 2 2 3 2 4" xfId="20956" xr:uid="{00000000-0005-0000-0000-0000DE230000}"/>
    <cellStyle name="40% - Accent2 2 3 2 2 3 3" xfId="7479" xr:uid="{00000000-0005-0000-0000-0000DF230000}"/>
    <cellStyle name="40% - Accent2 2 3 2 2 3 3 2" xfId="7480" xr:uid="{00000000-0005-0000-0000-0000E0230000}"/>
    <cellStyle name="40% - Accent2 2 3 2 2 3 3 3" xfId="22249" xr:uid="{00000000-0005-0000-0000-0000E1230000}"/>
    <cellStyle name="40% - Accent2 2 3 2 2 3 4" xfId="7481" xr:uid="{00000000-0005-0000-0000-0000E2230000}"/>
    <cellStyle name="40% - Accent2 2 3 2 2 3 5" xfId="19662" xr:uid="{00000000-0005-0000-0000-0000E3230000}"/>
    <cellStyle name="40% - Accent2 2 3 2 2 4" xfId="7482" xr:uid="{00000000-0005-0000-0000-0000E4230000}"/>
    <cellStyle name="40% - Accent2 2 3 2 2 4 2" xfId="7483" xr:uid="{00000000-0005-0000-0000-0000E5230000}"/>
    <cellStyle name="40% - Accent2 2 3 2 2 4 2 2" xfId="7484" xr:uid="{00000000-0005-0000-0000-0000E6230000}"/>
    <cellStyle name="40% - Accent2 2 3 2 2 4 2 3" xfId="22894" xr:uid="{00000000-0005-0000-0000-0000E7230000}"/>
    <cellStyle name="40% - Accent2 2 3 2 2 4 3" xfId="7485" xr:uid="{00000000-0005-0000-0000-0000E8230000}"/>
    <cellStyle name="40% - Accent2 2 3 2 2 4 4" xfId="20311" xr:uid="{00000000-0005-0000-0000-0000E9230000}"/>
    <cellStyle name="40% - Accent2 2 3 2 2 5" xfId="7486" xr:uid="{00000000-0005-0000-0000-0000EA230000}"/>
    <cellStyle name="40% - Accent2 2 3 2 2 5 2" xfId="7487" xr:uid="{00000000-0005-0000-0000-0000EB230000}"/>
    <cellStyle name="40% - Accent2 2 3 2 2 5 3" xfId="21604" xr:uid="{00000000-0005-0000-0000-0000EC230000}"/>
    <cellStyle name="40% - Accent2 2 3 2 2 6" xfId="7488" xr:uid="{00000000-0005-0000-0000-0000ED230000}"/>
    <cellStyle name="40% - Accent2 2 3 2 2 7" xfId="19010" xr:uid="{00000000-0005-0000-0000-0000EE230000}"/>
    <cellStyle name="40% - Accent2 2 3 2 3" xfId="7489" xr:uid="{00000000-0005-0000-0000-0000EF230000}"/>
    <cellStyle name="40% - Accent2 2 3 2 3 2" xfId="7490" xr:uid="{00000000-0005-0000-0000-0000F0230000}"/>
    <cellStyle name="40% - Accent2 2 3 2 3 2 2" xfId="7491" xr:uid="{00000000-0005-0000-0000-0000F1230000}"/>
    <cellStyle name="40% - Accent2 2 3 2 3 2 2 2" xfId="7492" xr:uid="{00000000-0005-0000-0000-0000F2230000}"/>
    <cellStyle name="40% - Accent2 2 3 2 3 2 2 2 2" xfId="7493" xr:uid="{00000000-0005-0000-0000-0000F3230000}"/>
    <cellStyle name="40% - Accent2 2 3 2 3 2 2 2 3" xfId="23700" xr:uid="{00000000-0005-0000-0000-0000F4230000}"/>
    <cellStyle name="40% - Accent2 2 3 2 3 2 2 3" xfId="7494" xr:uid="{00000000-0005-0000-0000-0000F5230000}"/>
    <cellStyle name="40% - Accent2 2 3 2 3 2 2 4" xfId="21117" xr:uid="{00000000-0005-0000-0000-0000F6230000}"/>
    <cellStyle name="40% - Accent2 2 3 2 3 2 3" xfId="7495" xr:uid="{00000000-0005-0000-0000-0000F7230000}"/>
    <cellStyle name="40% - Accent2 2 3 2 3 2 3 2" xfId="7496" xr:uid="{00000000-0005-0000-0000-0000F8230000}"/>
    <cellStyle name="40% - Accent2 2 3 2 3 2 3 3" xfId="22410" xr:uid="{00000000-0005-0000-0000-0000F9230000}"/>
    <cellStyle name="40% - Accent2 2 3 2 3 2 4" xfId="7497" xr:uid="{00000000-0005-0000-0000-0000FA230000}"/>
    <cellStyle name="40% - Accent2 2 3 2 3 2 5" xfId="19823" xr:uid="{00000000-0005-0000-0000-0000FB230000}"/>
    <cellStyle name="40% - Accent2 2 3 2 3 3" xfId="7498" xr:uid="{00000000-0005-0000-0000-0000FC230000}"/>
    <cellStyle name="40% - Accent2 2 3 2 3 3 2" xfId="7499" xr:uid="{00000000-0005-0000-0000-0000FD230000}"/>
    <cellStyle name="40% - Accent2 2 3 2 3 3 2 2" xfId="7500" xr:uid="{00000000-0005-0000-0000-0000FE230000}"/>
    <cellStyle name="40% - Accent2 2 3 2 3 3 2 3" xfId="23055" xr:uid="{00000000-0005-0000-0000-0000FF230000}"/>
    <cellStyle name="40% - Accent2 2 3 2 3 3 3" xfId="7501" xr:uid="{00000000-0005-0000-0000-000000240000}"/>
    <cellStyle name="40% - Accent2 2 3 2 3 3 4" xfId="20472" xr:uid="{00000000-0005-0000-0000-000001240000}"/>
    <cellStyle name="40% - Accent2 2 3 2 3 4" xfId="7502" xr:uid="{00000000-0005-0000-0000-000002240000}"/>
    <cellStyle name="40% - Accent2 2 3 2 3 4 2" xfId="7503" xr:uid="{00000000-0005-0000-0000-000003240000}"/>
    <cellStyle name="40% - Accent2 2 3 2 3 4 3" xfId="21765" xr:uid="{00000000-0005-0000-0000-000004240000}"/>
    <cellStyle name="40% - Accent2 2 3 2 3 5" xfId="7504" xr:uid="{00000000-0005-0000-0000-000005240000}"/>
    <cellStyle name="40% - Accent2 2 3 2 3 6" xfId="19175" xr:uid="{00000000-0005-0000-0000-000006240000}"/>
    <cellStyle name="40% - Accent2 2 3 2 4" xfId="7505" xr:uid="{00000000-0005-0000-0000-000007240000}"/>
    <cellStyle name="40% - Accent2 2 3 2 4 2" xfId="7506" xr:uid="{00000000-0005-0000-0000-000008240000}"/>
    <cellStyle name="40% - Accent2 2 3 2 4 2 2" xfId="7507" xr:uid="{00000000-0005-0000-0000-000009240000}"/>
    <cellStyle name="40% - Accent2 2 3 2 4 2 2 2" xfId="7508" xr:uid="{00000000-0005-0000-0000-00000A240000}"/>
    <cellStyle name="40% - Accent2 2 3 2 4 2 2 3" xfId="23378" xr:uid="{00000000-0005-0000-0000-00000B240000}"/>
    <cellStyle name="40% - Accent2 2 3 2 4 2 3" xfId="7509" xr:uid="{00000000-0005-0000-0000-00000C240000}"/>
    <cellStyle name="40% - Accent2 2 3 2 4 2 4" xfId="20795" xr:uid="{00000000-0005-0000-0000-00000D240000}"/>
    <cellStyle name="40% - Accent2 2 3 2 4 3" xfId="7510" xr:uid="{00000000-0005-0000-0000-00000E240000}"/>
    <cellStyle name="40% - Accent2 2 3 2 4 3 2" xfId="7511" xr:uid="{00000000-0005-0000-0000-00000F240000}"/>
    <cellStyle name="40% - Accent2 2 3 2 4 3 3" xfId="22088" xr:uid="{00000000-0005-0000-0000-000010240000}"/>
    <cellStyle name="40% - Accent2 2 3 2 4 4" xfId="7512" xr:uid="{00000000-0005-0000-0000-000011240000}"/>
    <cellStyle name="40% - Accent2 2 3 2 4 5" xfId="19501" xr:uid="{00000000-0005-0000-0000-000012240000}"/>
    <cellStyle name="40% - Accent2 2 3 2 5" xfId="7513" xr:uid="{00000000-0005-0000-0000-000013240000}"/>
    <cellStyle name="40% - Accent2 2 3 2 5 2" xfId="7514" xr:uid="{00000000-0005-0000-0000-000014240000}"/>
    <cellStyle name="40% - Accent2 2 3 2 5 2 2" xfId="7515" xr:uid="{00000000-0005-0000-0000-000015240000}"/>
    <cellStyle name="40% - Accent2 2 3 2 5 2 3" xfId="22733" xr:uid="{00000000-0005-0000-0000-000016240000}"/>
    <cellStyle name="40% - Accent2 2 3 2 5 3" xfId="7516" xr:uid="{00000000-0005-0000-0000-000017240000}"/>
    <cellStyle name="40% - Accent2 2 3 2 5 4" xfId="20150" xr:uid="{00000000-0005-0000-0000-000018240000}"/>
    <cellStyle name="40% - Accent2 2 3 2 6" xfId="7517" xr:uid="{00000000-0005-0000-0000-000019240000}"/>
    <cellStyle name="40% - Accent2 2 3 2 6 2" xfId="7518" xr:uid="{00000000-0005-0000-0000-00001A240000}"/>
    <cellStyle name="40% - Accent2 2 3 2 6 3" xfId="21443" xr:uid="{00000000-0005-0000-0000-00001B240000}"/>
    <cellStyle name="40% - Accent2 2 3 2 7" xfId="7519" xr:uid="{00000000-0005-0000-0000-00001C240000}"/>
    <cellStyle name="40% - Accent2 2 3 2 8" xfId="18845" xr:uid="{00000000-0005-0000-0000-00001D240000}"/>
    <cellStyle name="40% - Accent2 2 3 3" xfId="7520" xr:uid="{00000000-0005-0000-0000-00001E240000}"/>
    <cellStyle name="40% - Accent2 2 3 3 2" xfId="7521" xr:uid="{00000000-0005-0000-0000-00001F240000}"/>
    <cellStyle name="40% - Accent2 2 3 3 2 2" xfId="7522" xr:uid="{00000000-0005-0000-0000-000020240000}"/>
    <cellStyle name="40% - Accent2 2 3 3 2 2 2" xfId="7523" xr:uid="{00000000-0005-0000-0000-000021240000}"/>
    <cellStyle name="40% - Accent2 2 3 3 2 2 2 2" xfId="7524" xr:uid="{00000000-0005-0000-0000-000022240000}"/>
    <cellStyle name="40% - Accent2 2 3 3 2 2 2 2 2" xfId="7525" xr:uid="{00000000-0005-0000-0000-000023240000}"/>
    <cellStyle name="40% - Accent2 2 3 3 2 2 2 2 3" xfId="23781" xr:uid="{00000000-0005-0000-0000-000024240000}"/>
    <cellStyle name="40% - Accent2 2 3 3 2 2 2 3" xfId="7526" xr:uid="{00000000-0005-0000-0000-000025240000}"/>
    <cellStyle name="40% - Accent2 2 3 3 2 2 2 4" xfId="21198" xr:uid="{00000000-0005-0000-0000-000026240000}"/>
    <cellStyle name="40% - Accent2 2 3 3 2 2 3" xfId="7527" xr:uid="{00000000-0005-0000-0000-000027240000}"/>
    <cellStyle name="40% - Accent2 2 3 3 2 2 3 2" xfId="7528" xr:uid="{00000000-0005-0000-0000-000028240000}"/>
    <cellStyle name="40% - Accent2 2 3 3 2 2 3 3" xfId="22491" xr:uid="{00000000-0005-0000-0000-000029240000}"/>
    <cellStyle name="40% - Accent2 2 3 3 2 2 4" xfId="7529" xr:uid="{00000000-0005-0000-0000-00002A240000}"/>
    <cellStyle name="40% - Accent2 2 3 3 2 2 5" xfId="19904" xr:uid="{00000000-0005-0000-0000-00002B240000}"/>
    <cellStyle name="40% - Accent2 2 3 3 2 3" xfId="7530" xr:uid="{00000000-0005-0000-0000-00002C240000}"/>
    <cellStyle name="40% - Accent2 2 3 3 2 3 2" xfId="7531" xr:uid="{00000000-0005-0000-0000-00002D240000}"/>
    <cellStyle name="40% - Accent2 2 3 3 2 3 2 2" xfId="7532" xr:uid="{00000000-0005-0000-0000-00002E240000}"/>
    <cellStyle name="40% - Accent2 2 3 3 2 3 2 3" xfId="23136" xr:uid="{00000000-0005-0000-0000-00002F240000}"/>
    <cellStyle name="40% - Accent2 2 3 3 2 3 3" xfId="7533" xr:uid="{00000000-0005-0000-0000-000030240000}"/>
    <cellStyle name="40% - Accent2 2 3 3 2 3 4" xfId="20553" xr:uid="{00000000-0005-0000-0000-000031240000}"/>
    <cellStyle name="40% - Accent2 2 3 3 2 4" xfId="7534" xr:uid="{00000000-0005-0000-0000-000032240000}"/>
    <cellStyle name="40% - Accent2 2 3 3 2 4 2" xfId="7535" xr:uid="{00000000-0005-0000-0000-000033240000}"/>
    <cellStyle name="40% - Accent2 2 3 3 2 4 3" xfId="21846" xr:uid="{00000000-0005-0000-0000-000034240000}"/>
    <cellStyle name="40% - Accent2 2 3 3 2 5" xfId="7536" xr:uid="{00000000-0005-0000-0000-000035240000}"/>
    <cellStyle name="40% - Accent2 2 3 3 2 6" xfId="19256" xr:uid="{00000000-0005-0000-0000-000036240000}"/>
    <cellStyle name="40% - Accent2 2 3 3 3" xfId="7537" xr:uid="{00000000-0005-0000-0000-000037240000}"/>
    <cellStyle name="40% - Accent2 2 3 3 3 2" xfId="7538" xr:uid="{00000000-0005-0000-0000-000038240000}"/>
    <cellStyle name="40% - Accent2 2 3 3 3 2 2" xfId="7539" xr:uid="{00000000-0005-0000-0000-000039240000}"/>
    <cellStyle name="40% - Accent2 2 3 3 3 2 2 2" xfId="7540" xr:uid="{00000000-0005-0000-0000-00003A240000}"/>
    <cellStyle name="40% - Accent2 2 3 3 3 2 2 3" xfId="23459" xr:uid="{00000000-0005-0000-0000-00003B240000}"/>
    <cellStyle name="40% - Accent2 2 3 3 3 2 3" xfId="7541" xr:uid="{00000000-0005-0000-0000-00003C240000}"/>
    <cellStyle name="40% - Accent2 2 3 3 3 2 4" xfId="20876" xr:uid="{00000000-0005-0000-0000-00003D240000}"/>
    <cellStyle name="40% - Accent2 2 3 3 3 3" xfId="7542" xr:uid="{00000000-0005-0000-0000-00003E240000}"/>
    <cellStyle name="40% - Accent2 2 3 3 3 3 2" xfId="7543" xr:uid="{00000000-0005-0000-0000-00003F240000}"/>
    <cellStyle name="40% - Accent2 2 3 3 3 3 3" xfId="22169" xr:uid="{00000000-0005-0000-0000-000040240000}"/>
    <cellStyle name="40% - Accent2 2 3 3 3 4" xfId="7544" xr:uid="{00000000-0005-0000-0000-000041240000}"/>
    <cellStyle name="40% - Accent2 2 3 3 3 5" xfId="19582" xr:uid="{00000000-0005-0000-0000-000042240000}"/>
    <cellStyle name="40% - Accent2 2 3 3 4" xfId="7545" xr:uid="{00000000-0005-0000-0000-000043240000}"/>
    <cellStyle name="40% - Accent2 2 3 3 4 2" xfId="7546" xr:uid="{00000000-0005-0000-0000-000044240000}"/>
    <cellStyle name="40% - Accent2 2 3 3 4 2 2" xfId="7547" xr:uid="{00000000-0005-0000-0000-000045240000}"/>
    <cellStyle name="40% - Accent2 2 3 3 4 2 3" xfId="22814" xr:uid="{00000000-0005-0000-0000-000046240000}"/>
    <cellStyle name="40% - Accent2 2 3 3 4 3" xfId="7548" xr:uid="{00000000-0005-0000-0000-000047240000}"/>
    <cellStyle name="40% - Accent2 2 3 3 4 4" xfId="20231" xr:uid="{00000000-0005-0000-0000-000048240000}"/>
    <cellStyle name="40% - Accent2 2 3 3 5" xfId="7549" xr:uid="{00000000-0005-0000-0000-000049240000}"/>
    <cellStyle name="40% - Accent2 2 3 3 5 2" xfId="7550" xr:uid="{00000000-0005-0000-0000-00004A240000}"/>
    <cellStyle name="40% - Accent2 2 3 3 5 3" xfId="21524" xr:uid="{00000000-0005-0000-0000-00004B240000}"/>
    <cellStyle name="40% - Accent2 2 3 3 6" xfId="7551" xr:uid="{00000000-0005-0000-0000-00004C240000}"/>
    <cellStyle name="40% - Accent2 2 3 3 7" xfId="18930" xr:uid="{00000000-0005-0000-0000-00004D240000}"/>
    <cellStyle name="40% - Accent2 2 3 4" xfId="7552" xr:uid="{00000000-0005-0000-0000-00004E240000}"/>
    <cellStyle name="40% - Accent2 2 3 4 2" xfId="7553" xr:uid="{00000000-0005-0000-0000-00004F240000}"/>
    <cellStyle name="40% - Accent2 2 3 4 2 2" xfId="7554" xr:uid="{00000000-0005-0000-0000-000050240000}"/>
    <cellStyle name="40% - Accent2 2 3 4 2 2 2" xfId="7555" xr:uid="{00000000-0005-0000-0000-000051240000}"/>
    <cellStyle name="40% - Accent2 2 3 4 2 2 2 2" xfId="7556" xr:uid="{00000000-0005-0000-0000-000052240000}"/>
    <cellStyle name="40% - Accent2 2 3 4 2 2 2 3" xfId="23620" xr:uid="{00000000-0005-0000-0000-000053240000}"/>
    <cellStyle name="40% - Accent2 2 3 4 2 2 3" xfId="7557" xr:uid="{00000000-0005-0000-0000-000054240000}"/>
    <cellStyle name="40% - Accent2 2 3 4 2 2 4" xfId="21037" xr:uid="{00000000-0005-0000-0000-000055240000}"/>
    <cellStyle name="40% - Accent2 2 3 4 2 3" xfId="7558" xr:uid="{00000000-0005-0000-0000-000056240000}"/>
    <cellStyle name="40% - Accent2 2 3 4 2 3 2" xfId="7559" xr:uid="{00000000-0005-0000-0000-000057240000}"/>
    <cellStyle name="40% - Accent2 2 3 4 2 3 3" xfId="22330" xr:uid="{00000000-0005-0000-0000-000058240000}"/>
    <cellStyle name="40% - Accent2 2 3 4 2 4" xfId="7560" xr:uid="{00000000-0005-0000-0000-000059240000}"/>
    <cellStyle name="40% - Accent2 2 3 4 2 5" xfId="19743" xr:uid="{00000000-0005-0000-0000-00005A240000}"/>
    <cellStyle name="40% - Accent2 2 3 4 3" xfId="7561" xr:uid="{00000000-0005-0000-0000-00005B240000}"/>
    <cellStyle name="40% - Accent2 2 3 4 3 2" xfId="7562" xr:uid="{00000000-0005-0000-0000-00005C240000}"/>
    <cellStyle name="40% - Accent2 2 3 4 3 2 2" xfId="7563" xr:uid="{00000000-0005-0000-0000-00005D240000}"/>
    <cellStyle name="40% - Accent2 2 3 4 3 2 3" xfId="22975" xr:uid="{00000000-0005-0000-0000-00005E240000}"/>
    <cellStyle name="40% - Accent2 2 3 4 3 3" xfId="7564" xr:uid="{00000000-0005-0000-0000-00005F240000}"/>
    <cellStyle name="40% - Accent2 2 3 4 3 4" xfId="20392" xr:uid="{00000000-0005-0000-0000-000060240000}"/>
    <cellStyle name="40% - Accent2 2 3 4 4" xfId="7565" xr:uid="{00000000-0005-0000-0000-000061240000}"/>
    <cellStyle name="40% - Accent2 2 3 4 4 2" xfId="7566" xr:uid="{00000000-0005-0000-0000-000062240000}"/>
    <cellStyle name="40% - Accent2 2 3 4 4 3" xfId="21685" xr:uid="{00000000-0005-0000-0000-000063240000}"/>
    <cellStyle name="40% - Accent2 2 3 4 5" xfId="7567" xr:uid="{00000000-0005-0000-0000-000064240000}"/>
    <cellStyle name="40% - Accent2 2 3 4 6" xfId="19095" xr:uid="{00000000-0005-0000-0000-000065240000}"/>
    <cellStyle name="40% - Accent2 2 3 5" xfId="7568" xr:uid="{00000000-0005-0000-0000-000066240000}"/>
    <cellStyle name="40% - Accent2 2 3 5 2" xfId="7569" xr:uid="{00000000-0005-0000-0000-000067240000}"/>
    <cellStyle name="40% - Accent2 2 3 5 2 2" xfId="7570" xr:uid="{00000000-0005-0000-0000-000068240000}"/>
    <cellStyle name="40% - Accent2 2 3 5 2 2 2" xfId="7571" xr:uid="{00000000-0005-0000-0000-000069240000}"/>
    <cellStyle name="40% - Accent2 2 3 5 2 2 3" xfId="23297" xr:uid="{00000000-0005-0000-0000-00006A240000}"/>
    <cellStyle name="40% - Accent2 2 3 5 2 3" xfId="7572" xr:uid="{00000000-0005-0000-0000-00006B240000}"/>
    <cellStyle name="40% - Accent2 2 3 5 2 4" xfId="20714" xr:uid="{00000000-0005-0000-0000-00006C240000}"/>
    <cellStyle name="40% - Accent2 2 3 5 3" xfId="7573" xr:uid="{00000000-0005-0000-0000-00006D240000}"/>
    <cellStyle name="40% - Accent2 2 3 5 3 2" xfId="7574" xr:uid="{00000000-0005-0000-0000-00006E240000}"/>
    <cellStyle name="40% - Accent2 2 3 5 3 3" xfId="22007" xr:uid="{00000000-0005-0000-0000-00006F240000}"/>
    <cellStyle name="40% - Accent2 2 3 5 4" xfId="7575" xr:uid="{00000000-0005-0000-0000-000070240000}"/>
    <cellStyle name="40% - Accent2 2 3 5 5" xfId="19421" xr:uid="{00000000-0005-0000-0000-000071240000}"/>
    <cellStyle name="40% - Accent2 2 3 6" xfId="7576" xr:uid="{00000000-0005-0000-0000-000072240000}"/>
    <cellStyle name="40% - Accent2 2 3 6 2" xfId="7577" xr:uid="{00000000-0005-0000-0000-000073240000}"/>
    <cellStyle name="40% - Accent2 2 3 6 2 2" xfId="7578" xr:uid="{00000000-0005-0000-0000-000074240000}"/>
    <cellStyle name="40% - Accent2 2 3 6 2 3" xfId="22652" xr:uid="{00000000-0005-0000-0000-000075240000}"/>
    <cellStyle name="40% - Accent2 2 3 6 3" xfId="7579" xr:uid="{00000000-0005-0000-0000-000076240000}"/>
    <cellStyle name="40% - Accent2 2 3 6 4" xfId="20069" xr:uid="{00000000-0005-0000-0000-000077240000}"/>
    <cellStyle name="40% - Accent2 2 3 7" xfId="7580" xr:uid="{00000000-0005-0000-0000-000078240000}"/>
    <cellStyle name="40% - Accent2 2 3 7 2" xfId="7581" xr:uid="{00000000-0005-0000-0000-000079240000}"/>
    <cellStyle name="40% - Accent2 2 3 7 3" xfId="21362" xr:uid="{00000000-0005-0000-0000-00007A240000}"/>
    <cellStyle name="40% - Accent2 2 3 8" xfId="7582" xr:uid="{00000000-0005-0000-0000-00007B240000}"/>
    <cellStyle name="40% - Accent2 2 3 9" xfId="18748" xr:uid="{00000000-0005-0000-0000-00007C240000}"/>
    <cellStyle name="40% - Accent2 2 4" xfId="7583" xr:uid="{00000000-0005-0000-0000-00007D240000}"/>
    <cellStyle name="40% - Accent2 2 4 2" xfId="7584" xr:uid="{00000000-0005-0000-0000-00007E240000}"/>
    <cellStyle name="40% - Accent2 2 4 2 2" xfId="7585" xr:uid="{00000000-0005-0000-0000-00007F240000}"/>
    <cellStyle name="40% - Accent2 2 4 2 2 2" xfId="7586" xr:uid="{00000000-0005-0000-0000-000080240000}"/>
    <cellStyle name="40% - Accent2 2 4 2 2 2 2" xfId="7587" xr:uid="{00000000-0005-0000-0000-000081240000}"/>
    <cellStyle name="40% - Accent2 2 4 2 2 2 2 2" xfId="7588" xr:uid="{00000000-0005-0000-0000-000082240000}"/>
    <cellStyle name="40% - Accent2 2 4 2 2 2 2 2 2" xfId="7589" xr:uid="{00000000-0005-0000-0000-000083240000}"/>
    <cellStyle name="40% - Accent2 2 4 2 2 2 2 2 3" xfId="23821" xr:uid="{00000000-0005-0000-0000-000084240000}"/>
    <cellStyle name="40% - Accent2 2 4 2 2 2 2 3" xfId="7590" xr:uid="{00000000-0005-0000-0000-000085240000}"/>
    <cellStyle name="40% - Accent2 2 4 2 2 2 2 4" xfId="21238" xr:uid="{00000000-0005-0000-0000-000086240000}"/>
    <cellStyle name="40% - Accent2 2 4 2 2 2 3" xfId="7591" xr:uid="{00000000-0005-0000-0000-000087240000}"/>
    <cellStyle name="40% - Accent2 2 4 2 2 2 3 2" xfId="7592" xr:uid="{00000000-0005-0000-0000-000088240000}"/>
    <cellStyle name="40% - Accent2 2 4 2 2 2 3 3" xfId="22531" xr:uid="{00000000-0005-0000-0000-000089240000}"/>
    <cellStyle name="40% - Accent2 2 4 2 2 2 4" xfId="7593" xr:uid="{00000000-0005-0000-0000-00008A240000}"/>
    <cellStyle name="40% - Accent2 2 4 2 2 2 5" xfId="19944" xr:uid="{00000000-0005-0000-0000-00008B240000}"/>
    <cellStyle name="40% - Accent2 2 4 2 2 3" xfId="7594" xr:uid="{00000000-0005-0000-0000-00008C240000}"/>
    <cellStyle name="40% - Accent2 2 4 2 2 3 2" xfId="7595" xr:uid="{00000000-0005-0000-0000-00008D240000}"/>
    <cellStyle name="40% - Accent2 2 4 2 2 3 2 2" xfId="7596" xr:uid="{00000000-0005-0000-0000-00008E240000}"/>
    <cellStyle name="40% - Accent2 2 4 2 2 3 2 3" xfId="23176" xr:uid="{00000000-0005-0000-0000-00008F240000}"/>
    <cellStyle name="40% - Accent2 2 4 2 2 3 3" xfId="7597" xr:uid="{00000000-0005-0000-0000-000090240000}"/>
    <cellStyle name="40% - Accent2 2 4 2 2 3 4" xfId="20593" xr:uid="{00000000-0005-0000-0000-000091240000}"/>
    <cellStyle name="40% - Accent2 2 4 2 2 4" xfId="7598" xr:uid="{00000000-0005-0000-0000-000092240000}"/>
    <cellStyle name="40% - Accent2 2 4 2 2 4 2" xfId="7599" xr:uid="{00000000-0005-0000-0000-000093240000}"/>
    <cellStyle name="40% - Accent2 2 4 2 2 4 3" xfId="21886" xr:uid="{00000000-0005-0000-0000-000094240000}"/>
    <cellStyle name="40% - Accent2 2 4 2 2 5" xfId="7600" xr:uid="{00000000-0005-0000-0000-000095240000}"/>
    <cellStyle name="40% - Accent2 2 4 2 2 6" xfId="19296" xr:uid="{00000000-0005-0000-0000-000096240000}"/>
    <cellStyle name="40% - Accent2 2 4 2 3" xfId="7601" xr:uid="{00000000-0005-0000-0000-000097240000}"/>
    <cellStyle name="40% - Accent2 2 4 2 3 2" xfId="7602" xr:uid="{00000000-0005-0000-0000-000098240000}"/>
    <cellStyle name="40% - Accent2 2 4 2 3 2 2" xfId="7603" xr:uid="{00000000-0005-0000-0000-000099240000}"/>
    <cellStyle name="40% - Accent2 2 4 2 3 2 2 2" xfId="7604" xr:uid="{00000000-0005-0000-0000-00009A240000}"/>
    <cellStyle name="40% - Accent2 2 4 2 3 2 2 3" xfId="23499" xr:uid="{00000000-0005-0000-0000-00009B240000}"/>
    <cellStyle name="40% - Accent2 2 4 2 3 2 3" xfId="7605" xr:uid="{00000000-0005-0000-0000-00009C240000}"/>
    <cellStyle name="40% - Accent2 2 4 2 3 2 4" xfId="20916" xr:uid="{00000000-0005-0000-0000-00009D240000}"/>
    <cellStyle name="40% - Accent2 2 4 2 3 3" xfId="7606" xr:uid="{00000000-0005-0000-0000-00009E240000}"/>
    <cellStyle name="40% - Accent2 2 4 2 3 3 2" xfId="7607" xr:uid="{00000000-0005-0000-0000-00009F240000}"/>
    <cellStyle name="40% - Accent2 2 4 2 3 3 3" xfId="22209" xr:uid="{00000000-0005-0000-0000-0000A0240000}"/>
    <cellStyle name="40% - Accent2 2 4 2 3 4" xfId="7608" xr:uid="{00000000-0005-0000-0000-0000A1240000}"/>
    <cellStyle name="40% - Accent2 2 4 2 3 5" xfId="19622" xr:uid="{00000000-0005-0000-0000-0000A2240000}"/>
    <cellStyle name="40% - Accent2 2 4 2 4" xfId="7609" xr:uid="{00000000-0005-0000-0000-0000A3240000}"/>
    <cellStyle name="40% - Accent2 2 4 2 4 2" xfId="7610" xr:uid="{00000000-0005-0000-0000-0000A4240000}"/>
    <cellStyle name="40% - Accent2 2 4 2 4 2 2" xfId="7611" xr:uid="{00000000-0005-0000-0000-0000A5240000}"/>
    <cellStyle name="40% - Accent2 2 4 2 4 2 3" xfId="22854" xr:uid="{00000000-0005-0000-0000-0000A6240000}"/>
    <cellStyle name="40% - Accent2 2 4 2 4 3" xfId="7612" xr:uid="{00000000-0005-0000-0000-0000A7240000}"/>
    <cellStyle name="40% - Accent2 2 4 2 4 4" xfId="20271" xr:uid="{00000000-0005-0000-0000-0000A8240000}"/>
    <cellStyle name="40% - Accent2 2 4 2 5" xfId="7613" xr:uid="{00000000-0005-0000-0000-0000A9240000}"/>
    <cellStyle name="40% - Accent2 2 4 2 5 2" xfId="7614" xr:uid="{00000000-0005-0000-0000-0000AA240000}"/>
    <cellStyle name="40% - Accent2 2 4 2 5 3" xfId="21564" xr:uid="{00000000-0005-0000-0000-0000AB240000}"/>
    <cellStyle name="40% - Accent2 2 4 2 6" xfId="7615" xr:uid="{00000000-0005-0000-0000-0000AC240000}"/>
    <cellStyle name="40% - Accent2 2 4 2 7" xfId="18970" xr:uid="{00000000-0005-0000-0000-0000AD240000}"/>
    <cellStyle name="40% - Accent2 2 4 3" xfId="7616" xr:uid="{00000000-0005-0000-0000-0000AE240000}"/>
    <cellStyle name="40% - Accent2 2 4 3 2" xfId="7617" xr:uid="{00000000-0005-0000-0000-0000AF240000}"/>
    <cellStyle name="40% - Accent2 2 4 3 2 2" xfId="7618" xr:uid="{00000000-0005-0000-0000-0000B0240000}"/>
    <cellStyle name="40% - Accent2 2 4 3 2 2 2" xfId="7619" xr:uid="{00000000-0005-0000-0000-0000B1240000}"/>
    <cellStyle name="40% - Accent2 2 4 3 2 2 2 2" xfId="7620" xr:uid="{00000000-0005-0000-0000-0000B2240000}"/>
    <cellStyle name="40% - Accent2 2 4 3 2 2 2 3" xfId="23660" xr:uid="{00000000-0005-0000-0000-0000B3240000}"/>
    <cellStyle name="40% - Accent2 2 4 3 2 2 3" xfId="7621" xr:uid="{00000000-0005-0000-0000-0000B4240000}"/>
    <cellStyle name="40% - Accent2 2 4 3 2 2 4" xfId="21077" xr:uid="{00000000-0005-0000-0000-0000B5240000}"/>
    <cellStyle name="40% - Accent2 2 4 3 2 3" xfId="7622" xr:uid="{00000000-0005-0000-0000-0000B6240000}"/>
    <cellStyle name="40% - Accent2 2 4 3 2 3 2" xfId="7623" xr:uid="{00000000-0005-0000-0000-0000B7240000}"/>
    <cellStyle name="40% - Accent2 2 4 3 2 3 3" xfId="22370" xr:uid="{00000000-0005-0000-0000-0000B8240000}"/>
    <cellStyle name="40% - Accent2 2 4 3 2 4" xfId="7624" xr:uid="{00000000-0005-0000-0000-0000B9240000}"/>
    <cellStyle name="40% - Accent2 2 4 3 2 5" xfId="19783" xr:uid="{00000000-0005-0000-0000-0000BA240000}"/>
    <cellStyle name="40% - Accent2 2 4 3 3" xfId="7625" xr:uid="{00000000-0005-0000-0000-0000BB240000}"/>
    <cellStyle name="40% - Accent2 2 4 3 3 2" xfId="7626" xr:uid="{00000000-0005-0000-0000-0000BC240000}"/>
    <cellStyle name="40% - Accent2 2 4 3 3 2 2" xfId="7627" xr:uid="{00000000-0005-0000-0000-0000BD240000}"/>
    <cellStyle name="40% - Accent2 2 4 3 3 2 3" xfId="23015" xr:uid="{00000000-0005-0000-0000-0000BE240000}"/>
    <cellStyle name="40% - Accent2 2 4 3 3 3" xfId="7628" xr:uid="{00000000-0005-0000-0000-0000BF240000}"/>
    <cellStyle name="40% - Accent2 2 4 3 3 4" xfId="20432" xr:uid="{00000000-0005-0000-0000-0000C0240000}"/>
    <cellStyle name="40% - Accent2 2 4 3 4" xfId="7629" xr:uid="{00000000-0005-0000-0000-0000C1240000}"/>
    <cellStyle name="40% - Accent2 2 4 3 4 2" xfId="7630" xr:uid="{00000000-0005-0000-0000-0000C2240000}"/>
    <cellStyle name="40% - Accent2 2 4 3 4 3" xfId="21725" xr:uid="{00000000-0005-0000-0000-0000C3240000}"/>
    <cellStyle name="40% - Accent2 2 4 3 5" xfId="7631" xr:uid="{00000000-0005-0000-0000-0000C4240000}"/>
    <cellStyle name="40% - Accent2 2 4 3 6" xfId="19135" xr:uid="{00000000-0005-0000-0000-0000C5240000}"/>
    <cellStyle name="40% - Accent2 2 4 4" xfId="7632" xr:uid="{00000000-0005-0000-0000-0000C6240000}"/>
    <cellStyle name="40% - Accent2 2 4 4 2" xfId="7633" xr:uid="{00000000-0005-0000-0000-0000C7240000}"/>
    <cellStyle name="40% - Accent2 2 4 4 2 2" xfId="7634" xr:uid="{00000000-0005-0000-0000-0000C8240000}"/>
    <cellStyle name="40% - Accent2 2 4 4 2 2 2" xfId="7635" xr:uid="{00000000-0005-0000-0000-0000C9240000}"/>
    <cellStyle name="40% - Accent2 2 4 4 2 2 3" xfId="23338" xr:uid="{00000000-0005-0000-0000-0000CA240000}"/>
    <cellStyle name="40% - Accent2 2 4 4 2 3" xfId="7636" xr:uid="{00000000-0005-0000-0000-0000CB240000}"/>
    <cellStyle name="40% - Accent2 2 4 4 2 4" xfId="20755" xr:uid="{00000000-0005-0000-0000-0000CC240000}"/>
    <cellStyle name="40% - Accent2 2 4 4 3" xfId="7637" xr:uid="{00000000-0005-0000-0000-0000CD240000}"/>
    <cellStyle name="40% - Accent2 2 4 4 3 2" xfId="7638" xr:uid="{00000000-0005-0000-0000-0000CE240000}"/>
    <cellStyle name="40% - Accent2 2 4 4 3 3" xfId="22048" xr:uid="{00000000-0005-0000-0000-0000CF240000}"/>
    <cellStyle name="40% - Accent2 2 4 4 4" xfId="7639" xr:uid="{00000000-0005-0000-0000-0000D0240000}"/>
    <cellStyle name="40% - Accent2 2 4 4 5" xfId="19461" xr:uid="{00000000-0005-0000-0000-0000D1240000}"/>
    <cellStyle name="40% - Accent2 2 4 5" xfId="7640" xr:uid="{00000000-0005-0000-0000-0000D2240000}"/>
    <cellStyle name="40% - Accent2 2 4 5 2" xfId="7641" xr:uid="{00000000-0005-0000-0000-0000D3240000}"/>
    <cellStyle name="40% - Accent2 2 4 5 2 2" xfId="7642" xr:uid="{00000000-0005-0000-0000-0000D4240000}"/>
    <cellStyle name="40% - Accent2 2 4 5 2 3" xfId="22693" xr:uid="{00000000-0005-0000-0000-0000D5240000}"/>
    <cellStyle name="40% - Accent2 2 4 5 3" xfId="7643" xr:uid="{00000000-0005-0000-0000-0000D6240000}"/>
    <cellStyle name="40% - Accent2 2 4 5 4" xfId="20110" xr:uid="{00000000-0005-0000-0000-0000D7240000}"/>
    <cellStyle name="40% - Accent2 2 4 6" xfId="7644" xr:uid="{00000000-0005-0000-0000-0000D8240000}"/>
    <cellStyle name="40% - Accent2 2 4 6 2" xfId="7645" xr:uid="{00000000-0005-0000-0000-0000D9240000}"/>
    <cellStyle name="40% - Accent2 2 4 6 3" xfId="21403" xr:uid="{00000000-0005-0000-0000-0000DA240000}"/>
    <cellStyle name="40% - Accent2 2 4 7" xfId="7646" xr:uid="{00000000-0005-0000-0000-0000DB240000}"/>
    <cellStyle name="40% - Accent2 2 4 8" xfId="18802" xr:uid="{00000000-0005-0000-0000-0000DC240000}"/>
    <cellStyle name="40% - Accent2 2 5" xfId="7647" xr:uid="{00000000-0005-0000-0000-0000DD240000}"/>
    <cellStyle name="40% - Accent2 2 5 2" xfId="7648" xr:uid="{00000000-0005-0000-0000-0000DE240000}"/>
    <cellStyle name="40% - Accent2 2 5 2 2" xfId="7649" xr:uid="{00000000-0005-0000-0000-0000DF240000}"/>
    <cellStyle name="40% - Accent2 2 5 2 2 2" xfId="7650" xr:uid="{00000000-0005-0000-0000-0000E0240000}"/>
    <cellStyle name="40% - Accent2 2 5 2 2 2 2" xfId="7651" xr:uid="{00000000-0005-0000-0000-0000E1240000}"/>
    <cellStyle name="40% - Accent2 2 5 2 2 2 2 2" xfId="7652" xr:uid="{00000000-0005-0000-0000-0000E2240000}"/>
    <cellStyle name="40% - Accent2 2 5 2 2 2 2 3" xfId="23741" xr:uid="{00000000-0005-0000-0000-0000E3240000}"/>
    <cellStyle name="40% - Accent2 2 5 2 2 2 3" xfId="7653" xr:uid="{00000000-0005-0000-0000-0000E4240000}"/>
    <cellStyle name="40% - Accent2 2 5 2 2 2 4" xfId="21158" xr:uid="{00000000-0005-0000-0000-0000E5240000}"/>
    <cellStyle name="40% - Accent2 2 5 2 2 3" xfId="7654" xr:uid="{00000000-0005-0000-0000-0000E6240000}"/>
    <cellStyle name="40% - Accent2 2 5 2 2 3 2" xfId="7655" xr:uid="{00000000-0005-0000-0000-0000E7240000}"/>
    <cellStyle name="40% - Accent2 2 5 2 2 3 3" xfId="22451" xr:uid="{00000000-0005-0000-0000-0000E8240000}"/>
    <cellStyle name="40% - Accent2 2 5 2 2 4" xfId="7656" xr:uid="{00000000-0005-0000-0000-0000E9240000}"/>
    <cellStyle name="40% - Accent2 2 5 2 2 5" xfId="19864" xr:uid="{00000000-0005-0000-0000-0000EA240000}"/>
    <cellStyle name="40% - Accent2 2 5 2 3" xfId="7657" xr:uid="{00000000-0005-0000-0000-0000EB240000}"/>
    <cellStyle name="40% - Accent2 2 5 2 3 2" xfId="7658" xr:uid="{00000000-0005-0000-0000-0000EC240000}"/>
    <cellStyle name="40% - Accent2 2 5 2 3 2 2" xfId="7659" xr:uid="{00000000-0005-0000-0000-0000ED240000}"/>
    <cellStyle name="40% - Accent2 2 5 2 3 2 3" xfId="23096" xr:uid="{00000000-0005-0000-0000-0000EE240000}"/>
    <cellStyle name="40% - Accent2 2 5 2 3 3" xfId="7660" xr:uid="{00000000-0005-0000-0000-0000EF240000}"/>
    <cellStyle name="40% - Accent2 2 5 2 3 4" xfId="20513" xr:uid="{00000000-0005-0000-0000-0000F0240000}"/>
    <cellStyle name="40% - Accent2 2 5 2 4" xfId="7661" xr:uid="{00000000-0005-0000-0000-0000F1240000}"/>
    <cellStyle name="40% - Accent2 2 5 2 4 2" xfId="7662" xr:uid="{00000000-0005-0000-0000-0000F2240000}"/>
    <cellStyle name="40% - Accent2 2 5 2 4 3" xfId="21806" xr:uid="{00000000-0005-0000-0000-0000F3240000}"/>
    <cellStyle name="40% - Accent2 2 5 2 5" xfId="7663" xr:uid="{00000000-0005-0000-0000-0000F4240000}"/>
    <cellStyle name="40% - Accent2 2 5 2 6" xfId="19216" xr:uid="{00000000-0005-0000-0000-0000F5240000}"/>
    <cellStyle name="40% - Accent2 2 5 3" xfId="7664" xr:uid="{00000000-0005-0000-0000-0000F6240000}"/>
    <cellStyle name="40% - Accent2 2 5 3 2" xfId="7665" xr:uid="{00000000-0005-0000-0000-0000F7240000}"/>
    <cellStyle name="40% - Accent2 2 5 3 2 2" xfId="7666" xr:uid="{00000000-0005-0000-0000-0000F8240000}"/>
    <cellStyle name="40% - Accent2 2 5 3 2 2 2" xfId="7667" xr:uid="{00000000-0005-0000-0000-0000F9240000}"/>
    <cellStyle name="40% - Accent2 2 5 3 2 2 3" xfId="23419" xr:uid="{00000000-0005-0000-0000-0000FA240000}"/>
    <cellStyle name="40% - Accent2 2 5 3 2 3" xfId="7668" xr:uid="{00000000-0005-0000-0000-0000FB240000}"/>
    <cellStyle name="40% - Accent2 2 5 3 2 4" xfId="20836" xr:uid="{00000000-0005-0000-0000-0000FC240000}"/>
    <cellStyle name="40% - Accent2 2 5 3 3" xfId="7669" xr:uid="{00000000-0005-0000-0000-0000FD240000}"/>
    <cellStyle name="40% - Accent2 2 5 3 3 2" xfId="7670" xr:uid="{00000000-0005-0000-0000-0000FE240000}"/>
    <cellStyle name="40% - Accent2 2 5 3 3 3" xfId="22129" xr:uid="{00000000-0005-0000-0000-0000FF240000}"/>
    <cellStyle name="40% - Accent2 2 5 3 4" xfId="7671" xr:uid="{00000000-0005-0000-0000-000000250000}"/>
    <cellStyle name="40% - Accent2 2 5 3 5" xfId="19542" xr:uid="{00000000-0005-0000-0000-000001250000}"/>
    <cellStyle name="40% - Accent2 2 5 4" xfId="7672" xr:uid="{00000000-0005-0000-0000-000002250000}"/>
    <cellStyle name="40% - Accent2 2 5 4 2" xfId="7673" xr:uid="{00000000-0005-0000-0000-000003250000}"/>
    <cellStyle name="40% - Accent2 2 5 4 2 2" xfId="7674" xr:uid="{00000000-0005-0000-0000-000004250000}"/>
    <cellStyle name="40% - Accent2 2 5 4 2 3" xfId="22774" xr:uid="{00000000-0005-0000-0000-000005250000}"/>
    <cellStyle name="40% - Accent2 2 5 4 3" xfId="7675" xr:uid="{00000000-0005-0000-0000-000006250000}"/>
    <cellStyle name="40% - Accent2 2 5 4 4" xfId="20191" xr:uid="{00000000-0005-0000-0000-000007250000}"/>
    <cellStyle name="40% - Accent2 2 5 5" xfId="7676" xr:uid="{00000000-0005-0000-0000-000008250000}"/>
    <cellStyle name="40% - Accent2 2 5 5 2" xfId="7677" xr:uid="{00000000-0005-0000-0000-000009250000}"/>
    <cellStyle name="40% - Accent2 2 5 5 3" xfId="21484" xr:uid="{00000000-0005-0000-0000-00000A250000}"/>
    <cellStyle name="40% - Accent2 2 5 6" xfId="7678" xr:uid="{00000000-0005-0000-0000-00000B250000}"/>
    <cellStyle name="40% - Accent2 2 5 7" xfId="18890" xr:uid="{00000000-0005-0000-0000-00000C250000}"/>
    <cellStyle name="40% - Accent2 2 6" xfId="7679" xr:uid="{00000000-0005-0000-0000-00000D250000}"/>
    <cellStyle name="40% - Accent2 2 6 2" xfId="7680" xr:uid="{00000000-0005-0000-0000-00000E250000}"/>
    <cellStyle name="40% - Accent2 2 6 2 2" xfId="7681" xr:uid="{00000000-0005-0000-0000-00000F250000}"/>
    <cellStyle name="40% - Accent2 2 6 2 2 2" xfId="7682" xr:uid="{00000000-0005-0000-0000-000010250000}"/>
    <cellStyle name="40% - Accent2 2 6 2 2 2 2" xfId="7683" xr:uid="{00000000-0005-0000-0000-000011250000}"/>
    <cellStyle name="40% - Accent2 2 6 2 2 2 3" xfId="23580" xr:uid="{00000000-0005-0000-0000-000012250000}"/>
    <cellStyle name="40% - Accent2 2 6 2 2 3" xfId="7684" xr:uid="{00000000-0005-0000-0000-000013250000}"/>
    <cellStyle name="40% - Accent2 2 6 2 2 4" xfId="20997" xr:uid="{00000000-0005-0000-0000-000014250000}"/>
    <cellStyle name="40% - Accent2 2 6 2 3" xfId="7685" xr:uid="{00000000-0005-0000-0000-000015250000}"/>
    <cellStyle name="40% - Accent2 2 6 2 3 2" xfId="7686" xr:uid="{00000000-0005-0000-0000-000016250000}"/>
    <cellStyle name="40% - Accent2 2 6 2 3 3" xfId="22290" xr:uid="{00000000-0005-0000-0000-000017250000}"/>
    <cellStyle name="40% - Accent2 2 6 2 4" xfId="7687" xr:uid="{00000000-0005-0000-0000-000018250000}"/>
    <cellStyle name="40% - Accent2 2 6 2 5" xfId="19703" xr:uid="{00000000-0005-0000-0000-000019250000}"/>
    <cellStyle name="40% - Accent2 2 6 3" xfId="7688" xr:uid="{00000000-0005-0000-0000-00001A250000}"/>
    <cellStyle name="40% - Accent2 2 6 3 2" xfId="7689" xr:uid="{00000000-0005-0000-0000-00001B250000}"/>
    <cellStyle name="40% - Accent2 2 6 3 2 2" xfId="7690" xr:uid="{00000000-0005-0000-0000-00001C250000}"/>
    <cellStyle name="40% - Accent2 2 6 3 2 3" xfId="22935" xr:uid="{00000000-0005-0000-0000-00001D250000}"/>
    <cellStyle name="40% - Accent2 2 6 3 3" xfId="7691" xr:uid="{00000000-0005-0000-0000-00001E250000}"/>
    <cellStyle name="40% - Accent2 2 6 3 4" xfId="20352" xr:uid="{00000000-0005-0000-0000-00001F250000}"/>
    <cellStyle name="40% - Accent2 2 6 4" xfId="7692" xr:uid="{00000000-0005-0000-0000-000020250000}"/>
    <cellStyle name="40% - Accent2 2 6 4 2" xfId="7693" xr:uid="{00000000-0005-0000-0000-000021250000}"/>
    <cellStyle name="40% - Accent2 2 6 4 3" xfId="21645" xr:uid="{00000000-0005-0000-0000-000022250000}"/>
    <cellStyle name="40% - Accent2 2 6 5" xfId="7694" xr:uid="{00000000-0005-0000-0000-000023250000}"/>
    <cellStyle name="40% - Accent2 2 6 6" xfId="19055" xr:uid="{00000000-0005-0000-0000-000024250000}"/>
    <cellStyle name="40% - Accent2 2 7" xfId="7695" xr:uid="{00000000-0005-0000-0000-000025250000}"/>
    <cellStyle name="40% - Accent2 2 7 2" xfId="7696" xr:uid="{00000000-0005-0000-0000-000026250000}"/>
    <cellStyle name="40% - Accent2 2 7 2 2" xfId="7697" xr:uid="{00000000-0005-0000-0000-000027250000}"/>
    <cellStyle name="40% - Accent2 2 7 2 2 2" xfId="7698" xr:uid="{00000000-0005-0000-0000-000028250000}"/>
    <cellStyle name="40% - Accent2 2 7 2 2 3" xfId="23257" xr:uid="{00000000-0005-0000-0000-000029250000}"/>
    <cellStyle name="40% - Accent2 2 7 2 3" xfId="7699" xr:uid="{00000000-0005-0000-0000-00002A250000}"/>
    <cellStyle name="40% - Accent2 2 7 2 4" xfId="20674" xr:uid="{00000000-0005-0000-0000-00002B250000}"/>
    <cellStyle name="40% - Accent2 2 7 3" xfId="7700" xr:uid="{00000000-0005-0000-0000-00002C250000}"/>
    <cellStyle name="40% - Accent2 2 7 3 2" xfId="7701" xr:uid="{00000000-0005-0000-0000-00002D250000}"/>
    <cellStyle name="40% - Accent2 2 7 3 3" xfId="21967" xr:uid="{00000000-0005-0000-0000-00002E250000}"/>
    <cellStyle name="40% - Accent2 2 7 4" xfId="7702" xr:uid="{00000000-0005-0000-0000-00002F250000}"/>
    <cellStyle name="40% - Accent2 2 7 5" xfId="19381" xr:uid="{00000000-0005-0000-0000-000030250000}"/>
    <cellStyle name="40% - Accent2 2 8" xfId="7703" xr:uid="{00000000-0005-0000-0000-000031250000}"/>
    <cellStyle name="40% - Accent2 2 8 2" xfId="7704" xr:uid="{00000000-0005-0000-0000-000032250000}"/>
    <cellStyle name="40% - Accent2 2 8 2 2" xfId="7705" xr:uid="{00000000-0005-0000-0000-000033250000}"/>
    <cellStyle name="40% - Accent2 2 8 2 3" xfId="22612" xr:uid="{00000000-0005-0000-0000-000034250000}"/>
    <cellStyle name="40% - Accent2 2 8 3" xfId="7706" xr:uid="{00000000-0005-0000-0000-000035250000}"/>
    <cellStyle name="40% - Accent2 2 8 4" xfId="20029" xr:uid="{00000000-0005-0000-0000-000036250000}"/>
    <cellStyle name="40% - Accent2 2 9" xfId="7707" xr:uid="{00000000-0005-0000-0000-000037250000}"/>
    <cellStyle name="40% - Accent2 2 9 2" xfId="7708" xr:uid="{00000000-0005-0000-0000-000038250000}"/>
    <cellStyle name="40% - Accent2 2 9 3" xfId="21322" xr:uid="{00000000-0005-0000-0000-000039250000}"/>
    <cellStyle name="40% - Accent2 3" xfId="7709" xr:uid="{00000000-0005-0000-0000-00003A250000}"/>
    <cellStyle name="40% - Accent2 3 10" xfId="18710" xr:uid="{00000000-0005-0000-0000-00003B250000}"/>
    <cellStyle name="40% - Accent2 3 2" xfId="7710" xr:uid="{00000000-0005-0000-0000-00003C250000}"/>
    <cellStyle name="40% - Accent2 3 2 2" xfId="7711" xr:uid="{00000000-0005-0000-0000-00003D250000}"/>
    <cellStyle name="40% - Accent2 3 2 2 2" xfId="7712" xr:uid="{00000000-0005-0000-0000-00003E250000}"/>
    <cellStyle name="40% - Accent2 3 2 2 2 2" xfId="7713" xr:uid="{00000000-0005-0000-0000-00003F250000}"/>
    <cellStyle name="40% - Accent2 3 2 2 2 2 2" xfId="7714" xr:uid="{00000000-0005-0000-0000-000040250000}"/>
    <cellStyle name="40% - Accent2 3 2 2 2 2 2 2" xfId="7715" xr:uid="{00000000-0005-0000-0000-000041250000}"/>
    <cellStyle name="40% - Accent2 3 2 2 2 2 2 2 2" xfId="7716" xr:uid="{00000000-0005-0000-0000-000042250000}"/>
    <cellStyle name="40% - Accent2 3 2 2 2 2 2 2 2 2" xfId="7717" xr:uid="{00000000-0005-0000-0000-000043250000}"/>
    <cellStyle name="40% - Accent2 3 2 2 2 2 2 2 2 3" xfId="23871" xr:uid="{00000000-0005-0000-0000-000044250000}"/>
    <cellStyle name="40% - Accent2 3 2 2 2 2 2 2 3" xfId="7718" xr:uid="{00000000-0005-0000-0000-000045250000}"/>
    <cellStyle name="40% - Accent2 3 2 2 2 2 2 2 4" xfId="21288" xr:uid="{00000000-0005-0000-0000-000046250000}"/>
    <cellStyle name="40% - Accent2 3 2 2 2 2 2 3" xfId="7719" xr:uid="{00000000-0005-0000-0000-000047250000}"/>
    <cellStyle name="40% - Accent2 3 2 2 2 2 2 3 2" xfId="7720" xr:uid="{00000000-0005-0000-0000-000048250000}"/>
    <cellStyle name="40% - Accent2 3 2 2 2 2 2 3 3" xfId="22581" xr:uid="{00000000-0005-0000-0000-000049250000}"/>
    <cellStyle name="40% - Accent2 3 2 2 2 2 2 4" xfId="7721" xr:uid="{00000000-0005-0000-0000-00004A250000}"/>
    <cellStyle name="40% - Accent2 3 2 2 2 2 2 5" xfId="19994" xr:uid="{00000000-0005-0000-0000-00004B250000}"/>
    <cellStyle name="40% - Accent2 3 2 2 2 2 3" xfId="7722" xr:uid="{00000000-0005-0000-0000-00004C250000}"/>
    <cellStyle name="40% - Accent2 3 2 2 2 2 3 2" xfId="7723" xr:uid="{00000000-0005-0000-0000-00004D250000}"/>
    <cellStyle name="40% - Accent2 3 2 2 2 2 3 2 2" xfId="7724" xr:uid="{00000000-0005-0000-0000-00004E250000}"/>
    <cellStyle name="40% - Accent2 3 2 2 2 2 3 2 3" xfId="23226" xr:uid="{00000000-0005-0000-0000-00004F250000}"/>
    <cellStyle name="40% - Accent2 3 2 2 2 2 3 3" xfId="7725" xr:uid="{00000000-0005-0000-0000-000050250000}"/>
    <cellStyle name="40% - Accent2 3 2 2 2 2 3 4" xfId="20643" xr:uid="{00000000-0005-0000-0000-000051250000}"/>
    <cellStyle name="40% - Accent2 3 2 2 2 2 4" xfId="7726" xr:uid="{00000000-0005-0000-0000-000052250000}"/>
    <cellStyle name="40% - Accent2 3 2 2 2 2 4 2" xfId="7727" xr:uid="{00000000-0005-0000-0000-000053250000}"/>
    <cellStyle name="40% - Accent2 3 2 2 2 2 4 3" xfId="21936" xr:uid="{00000000-0005-0000-0000-000054250000}"/>
    <cellStyle name="40% - Accent2 3 2 2 2 2 5" xfId="7728" xr:uid="{00000000-0005-0000-0000-000055250000}"/>
    <cellStyle name="40% - Accent2 3 2 2 2 2 6" xfId="19346" xr:uid="{00000000-0005-0000-0000-000056250000}"/>
    <cellStyle name="40% - Accent2 3 2 2 2 3" xfId="7729" xr:uid="{00000000-0005-0000-0000-000057250000}"/>
    <cellStyle name="40% - Accent2 3 2 2 2 3 2" xfId="7730" xr:uid="{00000000-0005-0000-0000-000058250000}"/>
    <cellStyle name="40% - Accent2 3 2 2 2 3 2 2" xfId="7731" xr:uid="{00000000-0005-0000-0000-000059250000}"/>
    <cellStyle name="40% - Accent2 3 2 2 2 3 2 2 2" xfId="7732" xr:uid="{00000000-0005-0000-0000-00005A250000}"/>
    <cellStyle name="40% - Accent2 3 2 2 2 3 2 2 3" xfId="23549" xr:uid="{00000000-0005-0000-0000-00005B250000}"/>
    <cellStyle name="40% - Accent2 3 2 2 2 3 2 3" xfId="7733" xr:uid="{00000000-0005-0000-0000-00005C250000}"/>
    <cellStyle name="40% - Accent2 3 2 2 2 3 2 4" xfId="20966" xr:uid="{00000000-0005-0000-0000-00005D250000}"/>
    <cellStyle name="40% - Accent2 3 2 2 2 3 3" xfId="7734" xr:uid="{00000000-0005-0000-0000-00005E250000}"/>
    <cellStyle name="40% - Accent2 3 2 2 2 3 3 2" xfId="7735" xr:uid="{00000000-0005-0000-0000-00005F250000}"/>
    <cellStyle name="40% - Accent2 3 2 2 2 3 3 3" xfId="22259" xr:uid="{00000000-0005-0000-0000-000060250000}"/>
    <cellStyle name="40% - Accent2 3 2 2 2 3 4" xfId="7736" xr:uid="{00000000-0005-0000-0000-000061250000}"/>
    <cellStyle name="40% - Accent2 3 2 2 2 3 5" xfId="19672" xr:uid="{00000000-0005-0000-0000-000062250000}"/>
    <cellStyle name="40% - Accent2 3 2 2 2 4" xfId="7737" xr:uid="{00000000-0005-0000-0000-000063250000}"/>
    <cellStyle name="40% - Accent2 3 2 2 2 4 2" xfId="7738" xr:uid="{00000000-0005-0000-0000-000064250000}"/>
    <cellStyle name="40% - Accent2 3 2 2 2 4 2 2" xfId="7739" xr:uid="{00000000-0005-0000-0000-000065250000}"/>
    <cellStyle name="40% - Accent2 3 2 2 2 4 2 3" xfId="22904" xr:uid="{00000000-0005-0000-0000-000066250000}"/>
    <cellStyle name="40% - Accent2 3 2 2 2 4 3" xfId="7740" xr:uid="{00000000-0005-0000-0000-000067250000}"/>
    <cellStyle name="40% - Accent2 3 2 2 2 4 4" xfId="20321" xr:uid="{00000000-0005-0000-0000-000068250000}"/>
    <cellStyle name="40% - Accent2 3 2 2 2 5" xfId="7741" xr:uid="{00000000-0005-0000-0000-000069250000}"/>
    <cellStyle name="40% - Accent2 3 2 2 2 5 2" xfId="7742" xr:uid="{00000000-0005-0000-0000-00006A250000}"/>
    <cellStyle name="40% - Accent2 3 2 2 2 5 3" xfId="21614" xr:uid="{00000000-0005-0000-0000-00006B250000}"/>
    <cellStyle name="40% - Accent2 3 2 2 2 6" xfId="7743" xr:uid="{00000000-0005-0000-0000-00006C250000}"/>
    <cellStyle name="40% - Accent2 3 2 2 2 7" xfId="19020" xr:uid="{00000000-0005-0000-0000-00006D250000}"/>
    <cellStyle name="40% - Accent2 3 2 2 3" xfId="7744" xr:uid="{00000000-0005-0000-0000-00006E250000}"/>
    <cellStyle name="40% - Accent2 3 2 2 3 2" xfId="7745" xr:uid="{00000000-0005-0000-0000-00006F250000}"/>
    <cellStyle name="40% - Accent2 3 2 2 3 2 2" xfId="7746" xr:uid="{00000000-0005-0000-0000-000070250000}"/>
    <cellStyle name="40% - Accent2 3 2 2 3 2 2 2" xfId="7747" xr:uid="{00000000-0005-0000-0000-000071250000}"/>
    <cellStyle name="40% - Accent2 3 2 2 3 2 2 2 2" xfId="7748" xr:uid="{00000000-0005-0000-0000-000072250000}"/>
    <cellStyle name="40% - Accent2 3 2 2 3 2 2 2 3" xfId="23710" xr:uid="{00000000-0005-0000-0000-000073250000}"/>
    <cellStyle name="40% - Accent2 3 2 2 3 2 2 3" xfId="7749" xr:uid="{00000000-0005-0000-0000-000074250000}"/>
    <cellStyle name="40% - Accent2 3 2 2 3 2 2 4" xfId="21127" xr:uid="{00000000-0005-0000-0000-000075250000}"/>
    <cellStyle name="40% - Accent2 3 2 2 3 2 3" xfId="7750" xr:uid="{00000000-0005-0000-0000-000076250000}"/>
    <cellStyle name="40% - Accent2 3 2 2 3 2 3 2" xfId="7751" xr:uid="{00000000-0005-0000-0000-000077250000}"/>
    <cellStyle name="40% - Accent2 3 2 2 3 2 3 3" xfId="22420" xr:uid="{00000000-0005-0000-0000-000078250000}"/>
    <cellStyle name="40% - Accent2 3 2 2 3 2 4" xfId="7752" xr:uid="{00000000-0005-0000-0000-000079250000}"/>
    <cellStyle name="40% - Accent2 3 2 2 3 2 5" xfId="19833" xr:uid="{00000000-0005-0000-0000-00007A250000}"/>
    <cellStyle name="40% - Accent2 3 2 2 3 3" xfId="7753" xr:uid="{00000000-0005-0000-0000-00007B250000}"/>
    <cellStyle name="40% - Accent2 3 2 2 3 3 2" xfId="7754" xr:uid="{00000000-0005-0000-0000-00007C250000}"/>
    <cellStyle name="40% - Accent2 3 2 2 3 3 2 2" xfId="7755" xr:uid="{00000000-0005-0000-0000-00007D250000}"/>
    <cellStyle name="40% - Accent2 3 2 2 3 3 2 3" xfId="23065" xr:uid="{00000000-0005-0000-0000-00007E250000}"/>
    <cellStyle name="40% - Accent2 3 2 2 3 3 3" xfId="7756" xr:uid="{00000000-0005-0000-0000-00007F250000}"/>
    <cellStyle name="40% - Accent2 3 2 2 3 3 4" xfId="20482" xr:uid="{00000000-0005-0000-0000-000080250000}"/>
    <cellStyle name="40% - Accent2 3 2 2 3 4" xfId="7757" xr:uid="{00000000-0005-0000-0000-000081250000}"/>
    <cellStyle name="40% - Accent2 3 2 2 3 4 2" xfId="7758" xr:uid="{00000000-0005-0000-0000-000082250000}"/>
    <cellStyle name="40% - Accent2 3 2 2 3 4 3" xfId="21775" xr:uid="{00000000-0005-0000-0000-000083250000}"/>
    <cellStyle name="40% - Accent2 3 2 2 3 5" xfId="7759" xr:uid="{00000000-0005-0000-0000-000084250000}"/>
    <cellStyle name="40% - Accent2 3 2 2 3 6" xfId="19185" xr:uid="{00000000-0005-0000-0000-000085250000}"/>
    <cellStyle name="40% - Accent2 3 2 2 4" xfId="7760" xr:uid="{00000000-0005-0000-0000-000086250000}"/>
    <cellStyle name="40% - Accent2 3 2 2 4 2" xfId="7761" xr:uid="{00000000-0005-0000-0000-000087250000}"/>
    <cellStyle name="40% - Accent2 3 2 2 4 2 2" xfId="7762" xr:uid="{00000000-0005-0000-0000-000088250000}"/>
    <cellStyle name="40% - Accent2 3 2 2 4 2 2 2" xfId="7763" xr:uid="{00000000-0005-0000-0000-000089250000}"/>
    <cellStyle name="40% - Accent2 3 2 2 4 2 2 3" xfId="23388" xr:uid="{00000000-0005-0000-0000-00008A250000}"/>
    <cellStyle name="40% - Accent2 3 2 2 4 2 3" xfId="7764" xr:uid="{00000000-0005-0000-0000-00008B250000}"/>
    <cellStyle name="40% - Accent2 3 2 2 4 2 4" xfId="20805" xr:uid="{00000000-0005-0000-0000-00008C250000}"/>
    <cellStyle name="40% - Accent2 3 2 2 4 3" xfId="7765" xr:uid="{00000000-0005-0000-0000-00008D250000}"/>
    <cellStyle name="40% - Accent2 3 2 2 4 3 2" xfId="7766" xr:uid="{00000000-0005-0000-0000-00008E250000}"/>
    <cellStyle name="40% - Accent2 3 2 2 4 3 3" xfId="22098" xr:uid="{00000000-0005-0000-0000-00008F250000}"/>
    <cellStyle name="40% - Accent2 3 2 2 4 4" xfId="7767" xr:uid="{00000000-0005-0000-0000-000090250000}"/>
    <cellStyle name="40% - Accent2 3 2 2 4 5" xfId="19511" xr:uid="{00000000-0005-0000-0000-000091250000}"/>
    <cellStyle name="40% - Accent2 3 2 2 5" xfId="7768" xr:uid="{00000000-0005-0000-0000-000092250000}"/>
    <cellStyle name="40% - Accent2 3 2 2 5 2" xfId="7769" xr:uid="{00000000-0005-0000-0000-000093250000}"/>
    <cellStyle name="40% - Accent2 3 2 2 5 2 2" xfId="7770" xr:uid="{00000000-0005-0000-0000-000094250000}"/>
    <cellStyle name="40% - Accent2 3 2 2 5 2 3" xfId="22743" xr:uid="{00000000-0005-0000-0000-000095250000}"/>
    <cellStyle name="40% - Accent2 3 2 2 5 3" xfId="7771" xr:uid="{00000000-0005-0000-0000-000096250000}"/>
    <cellStyle name="40% - Accent2 3 2 2 5 4" xfId="20160" xr:uid="{00000000-0005-0000-0000-000097250000}"/>
    <cellStyle name="40% - Accent2 3 2 2 6" xfId="7772" xr:uid="{00000000-0005-0000-0000-000098250000}"/>
    <cellStyle name="40% - Accent2 3 2 2 6 2" xfId="7773" xr:uid="{00000000-0005-0000-0000-000099250000}"/>
    <cellStyle name="40% - Accent2 3 2 2 6 3" xfId="21453" xr:uid="{00000000-0005-0000-0000-00009A250000}"/>
    <cellStyle name="40% - Accent2 3 2 2 7" xfId="7774" xr:uid="{00000000-0005-0000-0000-00009B250000}"/>
    <cellStyle name="40% - Accent2 3 2 2 8" xfId="18855" xr:uid="{00000000-0005-0000-0000-00009C250000}"/>
    <cellStyle name="40% - Accent2 3 2 3" xfId="7775" xr:uid="{00000000-0005-0000-0000-00009D250000}"/>
    <cellStyle name="40% - Accent2 3 2 3 2" xfId="7776" xr:uid="{00000000-0005-0000-0000-00009E250000}"/>
    <cellStyle name="40% - Accent2 3 2 3 2 2" xfId="7777" xr:uid="{00000000-0005-0000-0000-00009F250000}"/>
    <cellStyle name="40% - Accent2 3 2 3 2 2 2" xfId="7778" xr:uid="{00000000-0005-0000-0000-0000A0250000}"/>
    <cellStyle name="40% - Accent2 3 2 3 2 2 2 2" xfId="7779" xr:uid="{00000000-0005-0000-0000-0000A1250000}"/>
    <cellStyle name="40% - Accent2 3 2 3 2 2 2 2 2" xfId="7780" xr:uid="{00000000-0005-0000-0000-0000A2250000}"/>
    <cellStyle name="40% - Accent2 3 2 3 2 2 2 2 3" xfId="23791" xr:uid="{00000000-0005-0000-0000-0000A3250000}"/>
    <cellStyle name="40% - Accent2 3 2 3 2 2 2 3" xfId="7781" xr:uid="{00000000-0005-0000-0000-0000A4250000}"/>
    <cellStyle name="40% - Accent2 3 2 3 2 2 2 4" xfId="21208" xr:uid="{00000000-0005-0000-0000-0000A5250000}"/>
    <cellStyle name="40% - Accent2 3 2 3 2 2 3" xfId="7782" xr:uid="{00000000-0005-0000-0000-0000A6250000}"/>
    <cellStyle name="40% - Accent2 3 2 3 2 2 3 2" xfId="7783" xr:uid="{00000000-0005-0000-0000-0000A7250000}"/>
    <cellStyle name="40% - Accent2 3 2 3 2 2 3 3" xfId="22501" xr:uid="{00000000-0005-0000-0000-0000A8250000}"/>
    <cellStyle name="40% - Accent2 3 2 3 2 2 4" xfId="7784" xr:uid="{00000000-0005-0000-0000-0000A9250000}"/>
    <cellStyle name="40% - Accent2 3 2 3 2 2 5" xfId="19914" xr:uid="{00000000-0005-0000-0000-0000AA250000}"/>
    <cellStyle name="40% - Accent2 3 2 3 2 3" xfId="7785" xr:uid="{00000000-0005-0000-0000-0000AB250000}"/>
    <cellStyle name="40% - Accent2 3 2 3 2 3 2" xfId="7786" xr:uid="{00000000-0005-0000-0000-0000AC250000}"/>
    <cellStyle name="40% - Accent2 3 2 3 2 3 2 2" xfId="7787" xr:uid="{00000000-0005-0000-0000-0000AD250000}"/>
    <cellStyle name="40% - Accent2 3 2 3 2 3 2 3" xfId="23146" xr:uid="{00000000-0005-0000-0000-0000AE250000}"/>
    <cellStyle name="40% - Accent2 3 2 3 2 3 3" xfId="7788" xr:uid="{00000000-0005-0000-0000-0000AF250000}"/>
    <cellStyle name="40% - Accent2 3 2 3 2 3 4" xfId="20563" xr:uid="{00000000-0005-0000-0000-0000B0250000}"/>
    <cellStyle name="40% - Accent2 3 2 3 2 4" xfId="7789" xr:uid="{00000000-0005-0000-0000-0000B1250000}"/>
    <cellStyle name="40% - Accent2 3 2 3 2 4 2" xfId="7790" xr:uid="{00000000-0005-0000-0000-0000B2250000}"/>
    <cellStyle name="40% - Accent2 3 2 3 2 4 3" xfId="21856" xr:uid="{00000000-0005-0000-0000-0000B3250000}"/>
    <cellStyle name="40% - Accent2 3 2 3 2 5" xfId="7791" xr:uid="{00000000-0005-0000-0000-0000B4250000}"/>
    <cellStyle name="40% - Accent2 3 2 3 2 6" xfId="19266" xr:uid="{00000000-0005-0000-0000-0000B5250000}"/>
    <cellStyle name="40% - Accent2 3 2 3 3" xfId="7792" xr:uid="{00000000-0005-0000-0000-0000B6250000}"/>
    <cellStyle name="40% - Accent2 3 2 3 3 2" xfId="7793" xr:uid="{00000000-0005-0000-0000-0000B7250000}"/>
    <cellStyle name="40% - Accent2 3 2 3 3 2 2" xfId="7794" xr:uid="{00000000-0005-0000-0000-0000B8250000}"/>
    <cellStyle name="40% - Accent2 3 2 3 3 2 2 2" xfId="7795" xr:uid="{00000000-0005-0000-0000-0000B9250000}"/>
    <cellStyle name="40% - Accent2 3 2 3 3 2 2 3" xfId="23469" xr:uid="{00000000-0005-0000-0000-0000BA250000}"/>
    <cellStyle name="40% - Accent2 3 2 3 3 2 3" xfId="7796" xr:uid="{00000000-0005-0000-0000-0000BB250000}"/>
    <cellStyle name="40% - Accent2 3 2 3 3 2 4" xfId="20886" xr:uid="{00000000-0005-0000-0000-0000BC250000}"/>
    <cellStyle name="40% - Accent2 3 2 3 3 3" xfId="7797" xr:uid="{00000000-0005-0000-0000-0000BD250000}"/>
    <cellStyle name="40% - Accent2 3 2 3 3 3 2" xfId="7798" xr:uid="{00000000-0005-0000-0000-0000BE250000}"/>
    <cellStyle name="40% - Accent2 3 2 3 3 3 3" xfId="22179" xr:uid="{00000000-0005-0000-0000-0000BF250000}"/>
    <cellStyle name="40% - Accent2 3 2 3 3 4" xfId="7799" xr:uid="{00000000-0005-0000-0000-0000C0250000}"/>
    <cellStyle name="40% - Accent2 3 2 3 3 5" xfId="19592" xr:uid="{00000000-0005-0000-0000-0000C1250000}"/>
    <cellStyle name="40% - Accent2 3 2 3 4" xfId="7800" xr:uid="{00000000-0005-0000-0000-0000C2250000}"/>
    <cellStyle name="40% - Accent2 3 2 3 4 2" xfId="7801" xr:uid="{00000000-0005-0000-0000-0000C3250000}"/>
    <cellStyle name="40% - Accent2 3 2 3 4 2 2" xfId="7802" xr:uid="{00000000-0005-0000-0000-0000C4250000}"/>
    <cellStyle name="40% - Accent2 3 2 3 4 2 3" xfId="22824" xr:uid="{00000000-0005-0000-0000-0000C5250000}"/>
    <cellStyle name="40% - Accent2 3 2 3 4 3" xfId="7803" xr:uid="{00000000-0005-0000-0000-0000C6250000}"/>
    <cellStyle name="40% - Accent2 3 2 3 4 4" xfId="20241" xr:uid="{00000000-0005-0000-0000-0000C7250000}"/>
    <cellStyle name="40% - Accent2 3 2 3 5" xfId="7804" xr:uid="{00000000-0005-0000-0000-0000C8250000}"/>
    <cellStyle name="40% - Accent2 3 2 3 5 2" xfId="7805" xr:uid="{00000000-0005-0000-0000-0000C9250000}"/>
    <cellStyle name="40% - Accent2 3 2 3 5 3" xfId="21534" xr:uid="{00000000-0005-0000-0000-0000CA250000}"/>
    <cellStyle name="40% - Accent2 3 2 3 6" xfId="7806" xr:uid="{00000000-0005-0000-0000-0000CB250000}"/>
    <cellStyle name="40% - Accent2 3 2 3 7" xfId="18940" xr:uid="{00000000-0005-0000-0000-0000CC250000}"/>
    <cellStyle name="40% - Accent2 3 2 4" xfId="7807" xr:uid="{00000000-0005-0000-0000-0000CD250000}"/>
    <cellStyle name="40% - Accent2 3 2 4 2" xfId="7808" xr:uid="{00000000-0005-0000-0000-0000CE250000}"/>
    <cellStyle name="40% - Accent2 3 2 4 2 2" xfId="7809" xr:uid="{00000000-0005-0000-0000-0000CF250000}"/>
    <cellStyle name="40% - Accent2 3 2 4 2 2 2" xfId="7810" xr:uid="{00000000-0005-0000-0000-0000D0250000}"/>
    <cellStyle name="40% - Accent2 3 2 4 2 2 2 2" xfId="7811" xr:uid="{00000000-0005-0000-0000-0000D1250000}"/>
    <cellStyle name="40% - Accent2 3 2 4 2 2 2 3" xfId="23630" xr:uid="{00000000-0005-0000-0000-0000D2250000}"/>
    <cellStyle name="40% - Accent2 3 2 4 2 2 3" xfId="7812" xr:uid="{00000000-0005-0000-0000-0000D3250000}"/>
    <cellStyle name="40% - Accent2 3 2 4 2 2 4" xfId="21047" xr:uid="{00000000-0005-0000-0000-0000D4250000}"/>
    <cellStyle name="40% - Accent2 3 2 4 2 3" xfId="7813" xr:uid="{00000000-0005-0000-0000-0000D5250000}"/>
    <cellStyle name="40% - Accent2 3 2 4 2 3 2" xfId="7814" xr:uid="{00000000-0005-0000-0000-0000D6250000}"/>
    <cellStyle name="40% - Accent2 3 2 4 2 3 3" xfId="22340" xr:uid="{00000000-0005-0000-0000-0000D7250000}"/>
    <cellStyle name="40% - Accent2 3 2 4 2 4" xfId="7815" xr:uid="{00000000-0005-0000-0000-0000D8250000}"/>
    <cellStyle name="40% - Accent2 3 2 4 2 5" xfId="19753" xr:uid="{00000000-0005-0000-0000-0000D9250000}"/>
    <cellStyle name="40% - Accent2 3 2 4 3" xfId="7816" xr:uid="{00000000-0005-0000-0000-0000DA250000}"/>
    <cellStyle name="40% - Accent2 3 2 4 3 2" xfId="7817" xr:uid="{00000000-0005-0000-0000-0000DB250000}"/>
    <cellStyle name="40% - Accent2 3 2 4 3 2 2" xfId="7818" xr:uid="{00000000-0005-0000-0000-0000DC250000}"/>
    <cellStyle name="40% - Accent2 3 2 4 3 2 3" xfId="22985" xr:uid="{00000000-0005-0000-0000-0000DD250000}"/>
    <cellStyle name="40% - Accent2 3 2 4 3 3" xfId="7819" xr:uid="{00000000-0005-0000-0000-0000DE250000}"/>
    <cellStyle name="40% - Accent2 3 2 4 3 4" xfId="20402" xr:uid="{00000000-0005-0000-0000-0000DF250000}"/>
    <cellStyle name="40% - Accent2 3 2 4 4" xfId="7820" xr:uid="{00000000-0005-0000-0000-0000E0250000}"/>
    <cellStyle name="40% - Accent2 3 2 4 4 2" xfId="7821" xr:uid="{00000000-0005-0000-0000-0000E1250000}"/>
    <cellStyle name="40% - Accent2 3 2 4 4 3" xfId="21695" xr:uid="{00000000-0005-0000-0000-0000E2250000}"/>
    <cellStyle name="40% - Accent2 3 2 4 5" xfId="7822" xr:uid="{00000000-0005-0000-0000-0000E3250000}"/>
    <cellStyle name="40% - Accent2 3 2 4 6" xfId="19105" xr:uid="{00000000-0005-0000-0000-0000E4250000}"/>
    <cellStyle name="40% - Accent2 3 2 5" xfId="7823" xr:uid="{00000000-0005-0000-0000-0000E5250000}"/>
    <cellStyle name="40% - Accent2 3 2 5 2" xfId="7824" xr:uid="{00000000-0005-0000-0000-0000E6250000}"/>
    <cellStyle name="40% - Accent2 3 2 5 2 2" xfId="7825" xr:uid="{00000000-0005-0000-0000-0000E7250000}"/>
    <cellStyle name="40% - Accent2 3 2 5 2 2 2" xfId="7826" xr:uid="{00000000-0005-0000-0000-0000E8250000}"/>
    <cellStyle name="40% - Accent2 3 2 5 2 2 3" xfId="23307" xr:uid="{00000000-0005-0000-0000-0000E9250000}"/>
    <cellStyle name="40% - Accent2 3 2 5 2 3" xfId="7827" xr:uid="{00000000-0005-0000-0000-0000EA250000}"/>
    <cellStyle name="40% - Accent2 3 2 5 2 4" xfId="20724" xr:uid="{00000000-0005-0000-0000-0000EB250000}"/>
    <cellStyle name="40% - Accent2 3 2 5 3" xfId="7828" xr:uid="{00000000-0005-0000-0000-0000EC250000}"/>
    <cellStyle name="40% - Accent2 3 2 5 3 2" xfId="7829" xr:uid="{00000000-0005-0000-0000-0000ED250000}"/>
    <cellStyle name="40% - Accent2 3 2 5 3 3" xfId="22017" xr:uid="{00000000-0005-0000-0000-0000EE250000}"/>
    <cellStyle name="40% - Accent2 3 2 5 4" xfId="7830" xr:uid="{00000000-0005-0000-0000-0000EF250000}"/>
    <cellStyle name="40% - Accent2 3 2 5 5" xfId="19431" xr:uid="{00000000-0005-0000-0000-0000F0250000}"/>
    <cellStyle name="40% - Accent2 3 2 6" xfId="7831" xr:uid="{00000000-0005-0000-0000-0000F1250000}"/>
    <cellStyle name="40% - Accent2 3 2 6 2" xfId="7832" xr:uid="{00000000-0005-0000-0000-0000F2250000}"/>
    <cellStyle name="40% - Accent2 3 2 6 2 2" xfId="7833" xr:uid="{00000000-0005-0000-0000-0000F3250000}"/>
    <cellStyle name="40% - Accent2 3 2 6 2 3" xfId="22662" xr:uid="{00000000-0005-0000-0000-0000F4250000}"/>
    <cellStyle name="40% - Accent2 3 2 6 3" xfId="7834" xr:uid="{00000000-0005-0000-0000-0000F5250000}"/>
    <cellStyle name="40% - Accent2 3 2 6 4" xfId="20079" xr:uid="{00000000-0005-0000-0000-0000F6250000}"/>
    <cellStyle name="40% - Accent2 3 2 7" xfId="7835" xr:uid="{00000000-0005-0000-0000-0000F7250000}"/>
    <cellStyle name="40% - Accent2 3 2 7 2" xfId="7836" xr:uid="{00000000-0005-0000-0000-0000F8250000}"/>
    <cellStyle name="40% - Accent2 3 2 7 3" xfId="21372" xr:uid="{00000000-0005-0000-0000-0000F9250000}"/>
    <cellStyle name="40% - Accent2 3 2 8" xfId="7837" xr:uid="{00000000-0005-0000-0000-0000FA250000}"/>
    <cellStyle name="40% - Accent2 3 2 9" xfId="18758" xr:uid="{00000000-0005-0000-0000-0000FB250000}"/>
    <cellStyle name="40% - Accent2 3 3" xfId="7838" xr:uid="{00000000-0005-0000-0000-0000FC250000}"/>
    <cellStyle name="40% - Accent2 3 3 2" xfId="7839" xr:uid="{00000000-0005-0000-0000-0000FD250000}"/>
    <cellStyle name="40% - Accent2 3 3 2 2" xfId="7840" xr:uid="{00000000-0005-0000-0000-0000FE250000}"/>
    <cellStyle name="40% - Accent2 3 3 2 2 2" xfId="7841" xr:uid="{00000000-0005-0000-0000-0000FF250000}"/>
    <cellStyle name="40% - Accent2 3 3 2 2 2 2" xfId="7842" xr:uid="{00000000-0005-0000-0000-000000260000}"/>
    <cellStyle name="40% - Accent2 3 3 2 2 2 2 2" xfId="7843" xr:uid="{00000000-0005-0000-0000-000001260000}"/>
    <cellStyle name="40% - Accent2 3 3 2 2 2 2 2 2" xfId="7844" xr:uid="{00000000-0005-0000-0000-000002260000}"/>
    <cellStyle name="40% - Accent2 3 3 2 2 2 2 2 3" xfId="23831" xr:uid="{00000000-0005-0000-0000-000003260000}"/>
    <cellStyle name="40% - Accent2 3 3 2 2 2 2 3" xfId="7845" xr:uid="{00000000-0005-0000-0000-000004260000}"/>
    <cellStyle name="40% - Accent2 3 3 2 2 2 2 4" xfId="21248" xr:uid="{00000000-0005-0000-0000-000005260000}"/>
    <cellStyle name="40% - Accent2 3 3 2 2 2 3" xfId="7846" xr:uid="{00000000-0005-0000-0000-000006260000}"/>
    <cellStyle name="40% - Accent2 3 3 2 2 2 3 2" xfId="7847" xr:uid="{00000000-0005-0000-0000-000007260000}"/>
    <cellStyle name="40% - Accent2 3 3 2 2 2 3 3" xfId="22541" xr:uid="{00000000-0005-0000-0000-000008260000}"/>
    <cellStyle name="40% - Accent2 3 3 2 2 2 4" xfId="7848" xr:uid="{00000000-0005-0000-0000-000009260000}"/>
    <cellStyle name="40% - Accent2 3 3 2 2 2 5" xfId="19954" xr:uid="{00000000-0005-0000-0000-00000A260000}"/>
    <cellStyle name="40% - Accent2 3 3 2 2 3" xfId="7849" xr:uid="{00000000-0005-0000-0000-00000B260000}"/>
    <cellStyle name="40% - Accent2 3 3 2 2 3 2" xfId="7850" xr:uid="{00000000-0005-0000-0000-00000C260000}"/>
    <cellStyle name="40% - Accent2 3 3 2 2 3 2 2" xfId="7851" xr:uid="{00000000-0005-0000-0000-00000D260000}"/>
    <cellStyle name="40% - Accent2 3 3 2 2 3 2 3" xfId="23186" xr:uid="{00000000-0005-0000-0000-00000E260000}"/>
    <cellStyle name="40% - Accent2 3 3 2 2 3 3" xfId="7852" xr:uid="{00000000-0005-0000-0000-00000F260000}"/>
    <cellStyle name="40% - Accent2 3 3 2 2 3 4" xfId="20603" xr:uid="{00000000-0005-0000-0000-000010260000}"/>
    <cellStyle name="40% - Accent2 3 3 2 2 4" xfId="7853" xr:uid="{00000000-0005-0000-0000-000011260000}"/>
    <cellStyle name="40% - Accent2 3 3 2 2 4 2" xfId="7854" xr:uid="{00000000-0005-0000-0000-000012260000}"/>
    <cellStyle name="40% - Accent2 3 3 2 2 4 3" xfId="21896" xr:uid="{00000000-0005-0000-0000-000013260000}"/>
    <cellStyle name="40% - Accent2 3 3 2 2 5" xfId="7855" xr:uid="{00000000-0005-0000-0000-000014260000}"/>
    <cellStyle name="40% - Accent2 3 3 2 2 6" xfId="19306" xr:uid="{00000000-0005-0000-0000-000015260000}"/>
    <cellStyle name="40% - Accent2 3 3 2 3" xfId="7856" xr:uid="{00000000-0005-0000-0000-000016260000}"/>
    <cellStyle name="40% - Accent2 3 3 2 3 2" xfId="7857" xr:uid="{00000000-0005-0000-0000-000017260000}"/>
    <cellStyle name="40% - Accent2 3 3 2 3 2 2" xfId="7858" xr:uid="{00000000-0005-0000-0000-000018260000}"/>
    <cellStyle name="40% - Accent2 3 3 2 3 2 2 2" xfId="7859" xr:uid="{00000000-0005-0000-0000-000019260000}"/>
    <cellStyle name="40% - Accent2 3 3 2 3 2 2 3" xfId="23509" xr:uid="{00000000-0005-0000-0000-00001A260000}"/>
    <cellStyle name="40% - Accent2 3 3 2 3 2 3" xfId="7860" xr:uid="{00000000-0005-0000-0000-00001B260000}"/>
    <cellStyle name="40% - Accent2 3 3 2 3 2 4" xfId="20926" xr:uid="{00000000-0005-0000-0000-00001C260000}"/>
    <cellStyle name="40% - Accent2 3 3 2 3 3" xfId="7861" xr:uid="{00000000-0005-0000-0000-00001D260000}"/>
    <cellStyle name="40% - Accent2 3 3 2 3 3 2" xfId="7862" xr:uid="{00000000-0005-0000-0000-00001E260000}"/>
    <cellStyle name="40% - Accent2 3 3 2 3 3 3" xfId="22219" xr:uid="{00000000-0005-0000-0000-00001F260000}"/>
    <cellStyle name="40% - Accent2 3 3 2 3 4" xfId="7863" xr:uid="{00000000-0005-0000-0000-000020260000}"/>
    <cellStyle name="40% - Accent2 3 3 2 3 5" xfId="19632" xr:uid="{00000000-0005-0000-0000-000021260000}"/>
    <cellStyle name="40% - Accent2 3 3 2 4" xfId="7864" xr:uid="{00000000-0005-0000-0000-000022260000}"/>
    <cellStyle name="40% - Accent2 3 3 2 4 2" xfId="7865" xr:uid="{00000000-0005-0000-0000-000023260000}"/>
    <cellStyle name="40% - Accent2 3 3 2 4 2 2" xfId="7866" xr:uid="{00000000-0005-0000-0000-000024260000}"/>
    <cellStyle name="40% - Accent2 3 3 2 4 2 3" xfId="22864" xr:uid="{00000000-0005-0000-0000-000025260000}"/>
    <cellStyle name="40% - Accent2 3 3 2 4 3" xfId="7867" xr:uid="{00000000-0005-0000-0000-000026260000}"/>
    <cellStyle name="40% - Accent2 3 3 2 4 4" xfId="20281" xr:uid="{00000000-0005-0000-0000-000027260000}"/>
    <cellStyle name="40% - Accent2 3 3 2 5" xfId="7868" xr:uid="{00000000-0005-0000-0000-000028260000}"/>
    <cellStyle name="40% - Accent2 3 3 2 5 2" xfId="7869" xr:uid="{00000000-0005-0000-0000-000029260000}"/>
    <cellStyle name="40% - Accent2 3 3 2 5 3" xfId="21574" xr:uid="{00000000-0005-0000-0000-00002A260000}"/>
    <cellStyle name="40% - Accent2 3 3 2 6" xfId="7870" xr:uid="{00000000-0005-0000-0000-00002B260000}"/>
    <cellStyle name="40% - Accent2 3 3 2 7" xfId="18980" xr:uid="{00000000-0005-0000-0000-00002C260000}"/>
    <cellStyle name="40% - Accent2 3 3 3" xfId="7871" xr:uid="{00000000-0005-0000-0000-00002D260000}"/>
    <cellStyle name="40% - Accent2 3 3 3 2" xfId="7872" xr:uid="{00000000-0005-0000-0000-00002E260000}"/>
    <cellStyle name="40% - Accent2 3 3 3 2 2" xfId="7873" xr:uid="{00000000-0005-0000-0000-00002F260000}"/>
    <cellStyle name="40% - Accent2 3 3 3 2 2 2" xfId="7874" xr:uid="{00000000-0005-0000-0000-000030260000}"/>
    <cellStyle name="40% - Accent2 3 3 3 2 2 2 2" xfId="7875" xr:uid="{00000000-0005-0000-0000-000031260000}"/>
    <cellStyle name="40% - Accent2 3 3 3 2 2 2 3" xfId="23670" xr:uid="{00000000-0005-0000-0000-000032260000}"/>
    <cellStyle name="40% - Accent2 3 3 3 2 2 3" xfId="7876" xr:uid="{00000000-0005-0000-0000-000033260000}"/>
    <cellStyle name="40% - Accent2 3 3 3 2 2 4" xfId="21087" xr:uid="{00000000-0005-0000-0000-000034260000}"/>
    <cellStyle name="40% - Accent2 3 3 3 2 3" xfId="7877" xr:uid="{00000000-0005-0000-0000-000035260000}"/>
    <cellStyle name="40% - Accent2 3 3 3 2 3 2" xfId="7878" xr:uid="{00000000-0005-0000-0000-000036260000}"/>
    <cellStyle name="40% - Accent2 3 3 3 2 3 3" xfId="22380" xr:uid="{00000000-0005-0000-0000-000037260000}"/>
    <cellStyle name="40% - Accent2 3 3 3 2 4" xfId="7879" xr:uid="{00000000-0005-0000-0000-000038260000}"/>
    <cellStyle name="40% - Accent2 3 3 3 2 5" xfId="19793" xr:uid="{00000000-0005-0000-0000-000039260000}"/>
    <cellStyle name="40% - Accent2 3 3 3 3" xfId="7880" xr:uid="{00000000-0005-0000-0000-00003A260000}"/>
    <cellStyle name="40% - Accent2 3 3 3 3 2" xfId="7881" xr:uid="{00000000-0005-0000-0000-00003B260000}"/>
    <cellStyle name="40% - Accent2 3 3 3 3 2 2" xfId="7882" xr:uid="{00000000-0005-0000-0000-00003C260000}"/>
    <cellStyle name="40% - Accent2 3 3 3 3 2 3" xfId="23025" xr:uid="{00000000-0005-0000-0000-00003D260000}"/>
    <cellStyle name="40% - Accent2 3 3 3 3 3" xfId="7883" xr:uid="{00000000-0005-0000-0000-00003E260000}"/>
    <cellStyle name="40% - Accent2 3 3 3 3 4" xfId="20442" xr:uid="{00000000-0005-0000-0000-00003F260000}"/>
    <cellStyle name="40% - Accent2 3 3 3 4" xfId="7884" xr:uid="{00000000-0005-0000-0000-000040260000}"/>
    <cellStyle name="40% - Accent2 3 3 3 4 2" xfId="7885" xr:uid="{00000000-0005-0000-0000-000041260000}"/>
    <cellStyle name="40% - Accent2 3 3 3 4 3" xfId="21735" xr:uid="{00000000-0005-0000-0000-000042260000}"/>
    <cellStyle name="40% - Accent2 3 3 3 5" xfId="7886" xr:uid="{00000000-0005-0000-0000-000043260000}"/>
    <cellStyle name="40% - Accent2 3 3 3 6" xfId="19145" xr:uid="{00000000-0005-0000-0000-000044260000}"/>
    <cellStyle name="40% - Accent2 3 3 4" xfId="7887" xr:uid="{00000000-0005-0000-0000-000045260000}"/>
    <cellStyle name="40% - Accent2 3 3 4 2" xfId="7888" xr:uid="{00000000-0005-0000-0000-000046260000}"/>
    <cellStyle name="40% - Accent2 3 3 4 2 2" xfId="7889" xr:uid="{00000000-0005-0000-0000-000047260000}"/>
    <cellStyle name="40% - Accent2 3 3 4 2 2 2" xfId="7890" xr:uid="{00000000-0005-0000-0000-000048260000}"/>
    <cellStyle name="40% - Accent2 3 3 4 2 2 3" xfId="23348" xr:uid="{00000000-0005-0000-0000-000049260000}"/>
    <cellStyle name="40% - Accent2 3 3 4 2 3" xfId="7891" xr:uid="{00000000-0005-0000-0000-00004A260000}"/>
    <cellStyle name="40% - Accent2 3 3 4 2 4" xfId="20765" xr:uid="{00000000-0005-0000-0000-00004B260000}"/>
    <cellStyle name="40% - Accent2 3 3 4 3" xfId="7892" xr:uid="{00000000-0005-0000-0000-00004C260000}"/>
    <cellStyle name="40% - Accent2 3 3 4 3 2" xfId="7893" xr:uid="{00000000-0005-0000-0000-00004D260000}"/>
    <cellStyle name="40% - Accent2 3 3 4 3 3" xfId="22058" xr:uid="{00000000-0005-0000-0000-00004E260000}"/>
    <cellStyle name="40% - Accent2 3 3 4 4" xfId="7894" xr:uid="{00000000-0005-0000-0000-00004F260000}"/>
    <cellStyle name="40% - Accent2 3 3 4 5" xfId="19471" xr:uid="{00000000-0005-0000-0000-000050260000}"/>
    <cellStyle name="40% - Accent2 3 3 5" xfId="7895" xr:uid="{00000000-0005-0000-0000-000051260000}"/>
    <cellStyle name="40% - Accent2 3 3 5 2" xfId="7896" xr:uid="{00000000-0005-0000-0000-000052260000}"/>
    <cellStyle name="40% - Accent2 3 3 5 2 2" xfId="7897" xr:uid="{00000000-0005-0000-0000-000053260000}"/>
    <cellStyle name="40% - Accent2 3 3 5 2 3" xfId="22703" xr:uid="{00000000-0005-0000-0000-000054260000}"/>
    <cellStyle name="40% - Accent2 3 3 5 3" xfId="7898" xr:uid="{00000000-0005-0000-0000-000055260000}"/>
    <cellStyle name="40% - Accent2 3 3 5 4" xfId="20120" xr:uid="{00000000-0005-0000-0000-000056260000}"/>
    <cellStyle name="40% - Accent2 3 3 6" xfId="7899" xr:uid="{00000000-0005-0000-0000-000057260000}"/>
    <cellStyle name="40% - Accent2 3 3 6 2" xfId="7900" xr:uid="{00000000-0005-0000-0000-000058260000}"/>
    <cellStyle name="40% - Accent2 3 3 6 3" xfId="21413" xr:uid="{00000000-0005-0000-0000-000059260000}"/>
    <cellStyle name="40% - Accent2 3 3 7" xfId="7901" xr:uid="{00000000-0005-0000-0000-00005A260000}"/>
    <cellStyle name="40% - Accent2 3 3 8" xfId="18813" xr:uid="{00000000-0005-0000-0000-00005B260000}"/>
    <cellStyle name="40% - Accent2 3 4" xfId="7902" xr:uid="{00000000-0005-0000-0000-00005C260000}"/>
    <cellStyle name="40% - Accent2 3 4 2" xfId="7903" xr:uid="{00000000-0005-0000-0000-00005D260000}"/>
    <cellStyle name="40% - Accent2 3 4 2 2" xfId="7904" xr:uid="{00000000-0005-0000-0000-00005E260000}"/>
    <cellStyle name="40% - Accent2 3 4 2 2 2" xfId="7905" xr:uid="{00000000-0005-0000-0000-00005F260000}"/>
    <cellStyle name="40% - Accent2 3 4 2 2 2 2" xfId="7906" xr:uid="{00000000-0005-0000-0000-000060260000}"/>
    <cellStyle name="40% - Accent2 3 4 2 2 2 2 2" xfId="7907" xr:uid="{00000000-0005-0000-0000-000061260000}"/>
    <cellStyle name="40% - Accent2 3 4 2 2 2 2 3" xfId="23751" xr:uid="{00000000-0005-0000-0000-000062260000}"/>
    <cellStyle name="40% - Accent2 3 4 2 2 2 3" xfId="7908" xr:uid="{00000000-0005-0000-0000-000063260000}"/>
    <cellStyle name="40% - Accent2 3 4 2 2 2 4" xfId="21168" xr:uid="{00000000-0005-0000-0000-000064260000}"/>
    <cellStyle name="40% - Accent2 3 4 2 2 3" xfId="7909" xr:uid="{00000000-0005-0000-0000-000065260000}"/>
    <cellStyle name="40% - Accent2 3 4 2 2 3 2" xfId="7910" xr:uid="{00000000-0005-0000-0000-000066260000}"/>
    <cellStyle name="40% - Accent2 3 4 2 2 3 3" xfId="22461" xr:uid="{00000000-0005-0000-0000-000067260000}"/>
    <cellStyle name="40% - Accent2 3 4 2 2 4" xfId="7911" xr:uid="{00000000-0005-0000-0000-000068260000}"/>
    <cellStyle name="40% - Accent2 3 4 2 2 5" xfId="19874" xr:uid="{00000000-0005-0000-0000-000069260000}"/>
    <cellStyle name="40% - Accent2 3 4 2 3" xfId="7912" xr:uid="{00000000-0005-0000-0000-00006A260000}"/>
    <cellStyle name="40% - Accent2 3 4 2 3 2" xfId="7913" xr:uid="{00000000-0005-0000-0000-00006B260000}"/>
    <cellStyle name="40% - Accent2 3 4 2 3 2 2" xfId="7914" xr:uid="{00000000-0005-0000-0000-00006C260000}"/>
    <cellStyle name="40% - Accent2 3 4 2 3 2 3" xfId="23106" xr:uid="{00000000-0005-0000-0000-00006D260000}"/>
    <cellStyle name="40% - Accent2 3 4 2 3 3" xfId="7915" xr:uid="{00000000-0005-0000-0000-00006E260000}"/>
    <cellStyle name="40% - Accent2 3 4 2 3 4" xfId="20523" xr:uid="{00000000-0005-0000-0000-00006F260000}"/>
    <cellStyle name="40% - Accent2 3 4 2 4" xfId="7916" xr:uid="{00000000-0005-0000-0000-000070260000}"/>
    <cellStyle name="40% - Accent2 3 4 2 4 2" xfId="7917" xr:uid="{00000000-0005-0000-0000-000071260000}"/>
    <cellStyle name="40% - Accent2 3 4 2 4 3" xfId="21816" xr:uid="{00000000-0005-0000-0000-000072260000}"/>
    <cellStyle name="40% - Accent2 3 4 2 5" xfId="7918" xr:uid="{00000000-0005-0000-0000-000073260000}"/>
    <cellStyle name="40% - Accent2 3 4 2 6" xfId="19226" xr:uid="{00000000-0005-0000-0000-000074260000}"/>
    <cellStyle name="40% - Accent2 3 4 3" xfId="7919" xr:uid="{00000000-0005-0000-0000-000075260000}"/>
    <cellStyle name="40% - Accent2 3 4 3 2" xfId="7920" xr:uid="{00000000-0005-0000-0000-000076260000}"/>
    <cellStyle name="40% - Accent2 3 4 3 2 2" xfId="7921" xr:uid="{00000000-0005-0000-0000-000077260000}"/>
    <cellStyle name="40% - Accent2 3 4 3 2 2 2" xfId="7922" xr:uid="{00000000-0005-0000-0000-000078260000}"/>
    <cellStyle name="40% - Accent2 3 4 3 2 2 3" xfId="23429" xr:uid="{00000000-0005-0000-0000-000079260000}"/>
    <cellStyle name="40% - Accent2 3 4 3 2 3" xfId="7923" xr:uid="{00000000-0005-0000-0000-00007A260000}"/>
    <cellStyle name="40% - Accent2 3 4 3 2 4" xfId="20846" xr:uid="{00000000-0005-0000-0000-00007B260000}"/>
    <cellStyle name="40% - Accent2 3 4 3 3" xfId="7924" xr:uid="{00000000-0005-0000-0000-00007C260000}"/>
    <cellStyle name="40% - Accent2 3 4 3 3 2" xfId="7925" xr:uid="{00000000-0005-0000-0000-00007D260000}"/>
    <cellStyle name="40% - Accent2 3 4 3 3 3" xfId="22139" xr:uid="{00000000-0005-0000-0000-00007E260000}"/>
    <cellStyle name="40% - Accent2 3 4 3 4" xfId="7926" xr:uid="{00000000-0005-0000-0000-00007F260000}"/>
    <cellStyle name="40% - Accent2 3 4 3 5" xfId="19552" xr:uid="{00000000-0005-0000-0000-000080260000}"/>
    <cellStyle name="40% - Accent2 3 4 4" xfId="7927" xr:uid="{00000000-0005-0000-0000-000081260000}"/>
    <cellStyle name="40% - Accent2 3 4 4 2" xfId="7928" xr:uid="{00000000-0005-0000-0000-000082260000}"/>
    <cellStyle name="40% - Accent2 3 4 4 2 2" xfId="7929" xr:uid="{00000000-0005-0000-0000-000083260000}"/>
    <cellStyle name="40% - Accent2 3 4 4 2 3" xfId="22784" xr:uid="{00000000-0005-0000-0000-000084260000}"/>
    <cellStyle name="40% - Accent2 3 4 4 3" xfId="7930" xr:uid="{00000000-0005-0000-0000-000085260000}"/>
    <cellStyle name="40% - Accent2 3 4 4 4" xfId="20201" xr:uid="{00000000-0005-0000-0000-000086260000}"/>
    <cellStyle name="40% - Accent2 3 4 5" xfId="7931" xr:uid="{00000000-0005-0000-0000-000087260000}"/>
    <cellStyle name="40% - Accent2 3 4 5 2" xfId="7932" xr:uid="{00000000-0005-0000-0000-000088260000}"/>
    <cellStyle name="40% - Accent2 3 4 5 3" xfId="21494" xr:uid="{00000000-0005-0000-0000-000089260000}"/>
    <cellStyle name="40% - Accent2 3 4 6" xfId="7933" xr:uid="{00000000-0005-0000-0000-00008A260000}"/>
    <cellStyle name="40% - Accent2 3 4 7" xfId="18900" xr:uid="{00000000-0005-0000-0000-00008B260000}"/>
    <cellStyle name="40% - Accent2 3 5" xfId="7934" xr:uid="{00000000-0005-0000-0000-00008C260000}"/>
    <cellStyle name="40% - Accent2 3 5 2" xfId="7935" xr:uid="{00000000-0005-0000-0000-00008D260000}"/>
    <cellStyle name="40% - Accent2 3 5 2 2" xfId="7936" xr:uid="{00000000-0005-0000-0000-00008E260000}"/>
    <cellStyle name="40% - Accent2 3 5 2 2 2" xfId="7937" xr:uid="{00000000-0005-0000-0000-00008F260000}"/>
    <cellStyle name="40% - Accent2 3 5 2 2 2 2" xfId="7938" xr:uid="{00000000-0005-0000-0000-000090260000}"/>
    <cellStyle name="40% - Accent2 3 5 2 2 2 3" xfId="23590" xr:uid="{00000000-0005-0000-0000-000091260000}"/>
    <cellStyle name="40% - Accent2 3 5 2 2 3" xfId="7939" xr:uid="{00000000-0005-0000-0000-000092260000}"/>
    <cellStyle name="40% - Accent2 3 5 2 2 4" xfId="21007" xr:uid="{00000000-0005-0000-0000-000093260000}"/>
    <cellStyle name="40% - Accent2 3 5 2 3" xfId="7940" xr:uid="{00000000-0005-0000-0000-000094260000}"/>
    <cellStyle name="40% - Accent2 3 5 2 3 2" xfId="7941" xr:uid="{00000000-0005-0000-0000-000095260000}"/>
    <cellStyle name="40% - Accent2 3 5 2 3 3" xfId="22300" xr:uid="{00000000-0005-0000-0000-000096260000}"/>
    <cellStyle name="40% - Accent2 3 5 2 4" xfId="7942" xr:uid="{00000000-0005-0000-0000-000097260000}"/>
    <cellStyle name="40% - Accent2 3 5 2 5" xfId="19713" xr:uid="{00000000-0005-0000-0000-000098260000}"/>
    <cellStyle name="40% - Accent2 3 5 3" xfId="7943" xr:uid="{00000000-0005-0000-0000-000099260000}"/>
    <cellStyle name="40% - Accent2 3 5 3 2" xfId="7944" xr:uid="{00000000-0005-0000-0000-00009A260000}"/>
    <cellStyle name="40% - Accent2 3 5 3 2 2" xfId="7945" xr:uid="{00000000-0005-0000-0000-00009B260000}"/>
    <cellStyle name="40% - Accent2 3 5 3 2 3" xfId="22945" xr:uid="{00000000-0005-0000-0000-00009C260000}"/>
    <cellStyle name="40% - Accent2 3 5 3 3" xfId="7946" xr:uid="{00000000-0005-0000-0000-00009D260000}"/>
    <cellStyle name="40% - Accent2 3 5 3 4" xfId="20362" xr:uid="{00000000-0005-0000-0000-00009E260000}"/>
    <cellStyle name="40% - Accent2 3 5 4" xfId="7947" xr:uid="{00000000-0005-0000-0000-00009F260000}"/>
    <cellStyle name="40% - Accent2 3 5 4 2" xfId="7948" xr:uid="{00000000-0005-0000-0000-0000A0260000}"/>
    <cellStyle name="40% - Accent2 3 5 4 3" xfId="21655" xr:uid="{00000000-0005-0000-0000-0000A1260000}"/>
    <cellStyle name="40% - Accent2 3 5 5" xfId="7949" xr:uid="{00000000-0005-0000-0000-0000A2260000}"/>
    <cellStyle name="40% - Accent2 3 5 6" xfId="19065" xr:uid="{00000000-0005-0000-0000-0000A3260000}"/>
    <cellStyle name="40% - Accent2 3 6" xfId="7950" xr:uid="{00000000-0005-0000-0000-0000A4260000}"/>
    <cellStyle name="40% - Accent2 3 6 2" xfId="7951" xr:uid="{00000000-0005-0000-0000-0000A5260000}"/>
    <cellStyle name="40% - Accent2 3 6 2 2" xfId="7952" xr:uid="{00000000-0005-0000-0000-0000A6260000}"/>
    <cellStyle name="40% - Accent2 3 6 2 2 2" xfId="7953" xr:uid="{00000000-0005-0000-0000-0000A7260000}"/>
    <cellStyle name="40% - Accent2 3 6 2 2 3" xfId="23267" xr:uid="{00000000-0005-0000-0000-0000A8260000}"/>
    <cellStyle name="40% - Accent2 3 6 2 3" xfId="7954" xr:uid="{00000000-0005-0000-0000-0000A9260000}"/>
    <cellStyle name="40% - Accent2 3 6 2 4" xfId="20684" xr:uid="{00000000-0005-0000-0000-0000AA260000}"/>
    <cellStyle name="40% - Accent2 3 6 3" xfId="7955" xr:uid="{00000000-0005-0000-0000-0000AB260000}"/>
    <cellStyle name="40% - Accent2 3 6 3 2" xfId="7956" xr:uid="{00000000-0005-0000-0000-0000AC260000}"/>
    <cellStyle name="40% - Accent2 3 6 3 3" xfId="21977" xr:uid="{00000000-0005-0000-0000-0000AD260000}"/>
    <cellStyle name="40% - Accent2 3 6 4" xfId="7957" xr:uid="{00000000-0005-0000-0000-0000AE260000}"/>
    <cellStyle name="40% - Accent2 3 6 5" xfId="19391" xr:uid="{00000000-0005-0000-0000-0000AF260000}"/>
    <cellStyle name="40% - Accent2 3 7" xfId="7958" xr:uid="{00000000-0005-0000-0000-0000B0260000}"/>
    <cellStyle name="40% - Accent2 3 7 2" xfId="7959" xr:uid="{00000000-0005-0000-0000-0000B1260000}"/>
    <cellStyle name="40% - Accent2 3 7 2 2" xfId="7960" xr:uid="{00000000-0005-0000-0000-0000B2260000}"/>
    <cellStyle name="40% - Accent2 3 7 2 3" xfId="22622" xr:uid="{00000000-0005-0000-0000-0000B3260000}"/>
    <cellStyle name="40% - Accent2 3 7 3" xfId="7961" xr:uid="{00000000-0005-0000-0000-0000B4260000}"/>
    <cellStyle name="40% - Accent2 3 7 4" xfId="20039" xr:uid="{00000000-0005-0000-0000-0000B5260000}"/>
    <cellStyle name="40% - Accent2 3 8" xfId="7962" xr:uid="{00000000-0005-0000-0000-0000B6260000}"/>
    <cellStyle name="40% - Accent2 3 8 2" xfId="7963" xr:uid="{00000000-0005-0000-0000-0000B7260000}"/>
    <cellStyle name="40% - Accent2 3 8 3" xfId="21332" xr:uid="{00000000-0005-0000-0000-0000B8260000}"/>
    <cellStyle name="40% - Accent2 3 9" xfId="7964" xr:uid="{00000000-0005-0000-0000-0000B9260000}"/>
    <cellStyle name="40% - Accent2 4" xfId="7965" xr:uid="{00000000-0005-0000-0000-0000BA260000}"/>
    <cellStyle name="40% - Accent2 4 2" xfId="7966" xr:uid="{00000000-0005-0000-0000-0000BB260000}"/>
    <cellStyle name="40% - Accent2 4 2 2" xfId="7967" xr:uid="{00000000-0005-0000-0000-0000BC260000}"/>
    <cellStyle name="40% - Accent2 4 2 2 2" xfId="7968" xr:uid="{00000000-0005-0000-0000-0000BD260000}"/>
    <cellStyle name="40% - Accent2 4 2 2 2 2" xfId="7969" xr:uid="{00000000-0005-0000-0000-0000BE260000}"/>
    <cellStyle name="40% - Accent2 4 2 2 2 2 2" xfId="7970" xr:uid="{00000000-0005-0000-0000-0000BF260000}"/>
    <cellStyle name="40% - Accent2 4 2 2 2 2 2 2" xfId="7971" xr:uid="{00000000-0005-0000-0000-0000C0260000}"/>
    <cellStyle name="40% - Accent2 4 2 2 2 2 2 2 2" xfId="7972" xr:uid="{00000000-0005-0000-0000-0000C1260000}"/>
    <cellStyle name="40% - Accent2 4 2 2 2 2 2 2 3" xfId="23851" xr:uid="{00000000-0005-0000-0000-0000C2260000}"/>
    <cellStyle name="40% - Accent2 4 2 2 2 2 2 3" xfId="7973" xr:uid="{00000000-0005-0000-0000-0000C3260000}"/>
    <cellStyle name="40% - Accent2 4 2 2 2 2 2 4" xfId="21268" xr:uid="{00000000-0005-0000-0000-0000C4260000}"/>
    <cellStyle name="40% - Accent2 4 2 2 2 2 3" xfId="7974" xr:uid="{00000000-0005-0000-0000-0000C5260000}"/>
    <cellStyle name="40% - Accent2 4 2 2 2 2 3 2" xfId="7975" xr:uid="{00000000-0005-0000-0000-0000C6260000}"/>
    <cellStyle name="40% - Accent2 4 2 2 2 2 3 3" xfId="22561" xr:uid="{00000000-0005-0000-0000-0000C7260000}"/>
    <cellStyle name="40% - Accent2 4 2 2 2 2 4" xfId="7976" xr:uid="{00000000-0005-0000-0000-0000C8260000}"/>
    <cellStyle name="40% - Accent2 4 2 2 2 2 5" xfId="19974" xr:uid="{00000000-0005-0000-0000-0000C9260000}"/>
    <cellStyle name="40% - Accent2 4 2 2 2 3" xfId="7977" xr:uid="{00000000-0005-0000-0000-0000CA260000}"/>
    <cellStyle name="40% - Accent2 4 2 2 2 3 2" xfId="7978" xr:uid="{00000000-0005-0000-0000-0000CB260000}"/>
    <cellStyle name="40% - Accent2 4 2 2 2 3 2 2" xfId="7979" xr:uid="{00000000-0005-0000-0000-0000CC260000}"/>
    <cellStyle name="40% - Accent2 4 2 2 2 3 2 3" xfId="23206" xr:uid="{00000000-0005-0000-0000-0000CD260000}"/>
    <cellStyle name="40% - Accent2 4 2 2 2 3 3" xfId="7980" xr:uid="{00000000-0005-0000-0000-0000CE260000}"/>
    <cellStyle name="40% - Accent2 4 2 2 2 3 4" xfId="20623" xr:uid="{00000000-0005-0000-0000-0000CF260000}"/>
    <cellStyle name="40% - Accent2 4 2 2 2 4" xfId="7981" xr:uid="{00000000-0005-0000-0000-0000D0260000}"/>
    <cellStyle name="40% - Accent2 4 2 2 2 4 2" xfId="7982" xr:uid="{00000000-0005-0000-0000-0000D1260000}"/>
    <cellStyle name="40% - Accent2 4 2 2 2 4 3" xfId="21916" xr:uid="{00000000-0005-0000-0000-0000D2260000}"/>
    <cellStyle name="40% - Accent2 4 2 2 2 5" xfId="7983" xr:uid="{00000000-0005-0000-0000-0000D3260000}"/>
    <cellStyle name="40% - Accent2 4 2 2 2 6" xfId="19326" xr:uid="{00000000-0005-0000-0000-0000D4260000}"/>
    <cellStyle name="40% - Accent2 4 2 2 3" xfId="7984" xr:uid="{00000000-0005-0000-0000-0000D5260000}"/>
    <cellStyle name="40% - Accent2 4 2 2 3 2" xfId="7985" xr:uid="{00000000-0005-0000-0000-0000D6260000}"/>
    <cellStyle name="40% - Accent2 4 2 2 3 2 2" xfId="7986" xr:uid="{00000000-0005-0000-0000-0000D7260000}"/>
    <cellStyle name="40% - Accent2 4 2 2 3 2 2 2" xfId="7987" xr:uid="{00000000-0005-0000-0000-0000D8260000}"/>
    <cellStyle name="40% - Accent2 4 2 2 3 2 2 3" xfId="23529" xr:uid="{00000000-0005-0000-0000-0000D9260000}"/>
    <cellStyle name="40% - Accent2 4 2 2 3 2 3" xfId="7988" xr:uid="{00000000-0005-0000-0000-0000DA260000}"/>
    <cellStyle name="40% - Accent2 4 2 2 3 2 4" xfId="20946" xr:uid="{00000000-0005-0000-0000-0000DB260000}"/>
    <cellStyle name="40% - Accent2 4 2 2 3 3" xfId="7989" xr:uid="{00000000-0005-0000-0000-0000DC260000}"/>
    <cellStyle name="40% - Accent2 4 2 2 3 3 2" xfId="7990" xr:uid="{00000000-0005-0000-0000-0000DD260000}"/>
    <cellStyle name="40% - Accent2 4 2 2 3 3 3" xfId="22239" xr:uid="{00000000-0005-0000-0000-0000DE260000}"/>
    <cellStyle name="40% - Accent2 4 2 2 3 4" xfId="7991" xr:uid="{00000000-0005-0000-0000-0000DF260000}"/>
    <cellStyle name="40% - Accent2 4 2 2 3 5" xfId="19652" xr:uid="{00000000-0005-0000-0000-0000E0260000}"/>
    <cellStyle name="40% - Accent2 4 2 2 4" xfId="7992" xr:uid="{00000000-0005-0000-0000-0000E1260000}"/>
    <cellStyle name="40% - Accent2 4 2 2 4 2" xfId="7993" xr:uid="{00000000-0005-0000-0000-0000E2260000}"/>
    <cellStyle name="40% - Accent2 4 2 2 4 2 2" xfId="7994" xr:uid="{00000000-0005-0000-0000-0000E3260000}"/>
    <cellStyle name="40% - Accent2 4 2 2 4 2 3" xfId="22884" xr:uid="{00000000-0005-0000-0000-0000E4260000}"/>
    <cellStyle name="40% - Accent2 4 2 2 4 3" xfId="7995" xr:uid="{00000000-0005-0000-0000-0000E5260000}"/>
    <cellStyle name="40% - Accent2 4 2 2 4 4" xfId="20301" xr:uid="{00000000-0005-0000-0000-0000E6260000}"/>
    <cellStyle name="40% - Accent2 4 2 2 5" xfId="7996" xr:uid="{00000000-0005-0000-0000-0000E7260000}"/>
    <cellStyle name="40% - Accent2 4 2 2 5 2" xfId="7997" xr:uid="{00000000-0005-0000-0000-0000E8260000}"/>
    <cellStyle name="40% - Accent2 4 2 2 5 3" xfId="21594" xr:uid="{00000000-0005-0000-0000-0000E9260000}"/>
    <cellStyle name="40% - Accent2 4 2 2 6" xfId="7998" xr:uid="{00000000-0005-0000-0000-0000EA260000}"/>
    <cellStyle name="40% - Accent2 4 2 2 7" xfId="19000" xr:uid="{00000000-0005-0000-0000-0000EB260000}"/>
    <cellStyle name="40% - Accent2 4 2 3" xfId="7999" xr:uid="{00000000-0005-0000-0000-0000EC260000}"/>
    <cellStyle name="40% - Accent2 4 2 3 2" xfId="8000" xr:uid="{00000000-0005-0000-0000-0000ED260000}"/>
    <cellStyle name="40% - Accent2 4 2 3 2 2" xfId="8001" xr:uid="{00000000-0005-0000-0000-0000EE260000}"/>
    <cellStyle name="40% - Accent2 4 2 3 2 2 2" xfId="8002" xr:uid="{00000000-0005-0000-0000-0000EF260000}"/>
    <cellStyle name="40% - Accent2 4 2 3 2 2 2 2" xfId="8003" xr:uid="{00000000-0005-0000-0000-0000F0260000}"/>
    <cellStyle name="40% - Accent2 4 2 3 2 2 2 3" xfId="23690" xr:uid="{00000000-0005-0000-0000-0000F1260000}"/>
    <cellStyle name="40% - Accent2 4 2 3 2 2 3" xfId="8004" xr:uid="{00000000-0005-0000-0000-0000F2260000}"/>
    <cellStyle name="40% - Accent2 4 2 3 2 2 4" xfId="21107" xr:uid="{00000000-0005-0000-0000-0000F3260000}"/>
    <cellStyle name="40% - Accent2 4 2 3 2 3" xfId="8005" xr:uid="{00000000-0005-0000-0000-0000F4260000}"/>
    <cellStyle name="40% - Accent2 4 2 3 2 3 2" xfId="8006" xr:uid="{00000000-0005-0000-0000-0000F5260000}"/>
    <cellStyle name="40% - Accent2 4 2 3 2 3 3" xfId="22400" xr:uid="{00000000-0005-0000-0000-0000F6260000}"/>
    <cellStyle name="40% - Accent2 4 2 3 2 4" xfId="8007" xr:uid="{00000000-0005-0000-0000-0000F7260000}"/>
    <cellStyle name="40% - Accent2 4 2 3 2 5" xfId="19813" xr:uid="{00000000-0005-0000-0000-0000F8260000}"/>
    <cellStyle name="40% - Accent2 4 2 3 3" xfId="8008" xr:uid="{00000000-0005-0000-0000-0000F9260000}"/>
    <cellStyle name="40% - Accent2 4 2 3 3 2" xfId="8009" xr:uid="{00000000-0005-0000-0000-0000FA260000}"/>
    <cellStyle name="40% - Accent2 4 2 3 3 2 2" xfId="8010" xr:uid="{00000000-0005-0000-0000-0000FB260000}"/>
    <cellStyle name="40% - Accent2 4 2 3 3 2 3" xfId="23045" xr:uid="{00000000-0005-0000-0000-0000FC260000}"/>
    <cellStyle name="40% - Accent2 4 2 3 3 3" xfId="8011" xr:uid="{00000000-0005-0000-0000-0000FD260000}"/>
    <cellStyle name="40% - Accent2 4 2 3 3 4" xfId="20462" xr:uid="{00000000-0005-0000-0000-0000FE260000}"/>
    <cellStyle name="40% - Accent2 4 2 3 4" xfId="8012" xr:uid="{00000000-0005-0000-0000-0000FF260000}"/>
    <cellStyle name="40% - Accent2 4 2 3 4 2" xfId="8013" xr:uid="{00000000-0005-0000-0000-000000270000}"/>
    <cellStyle name="40% - Accent2 4 2 3 4 3" xfId="21755" xr:uid="{00000000-0005-0000-0000-000001270000}"/>
    <cellStyle name="40% - Accent2 4 2 3 5" xfId="8014" xr:uid="{00000000-0005-0000-0000-000002270000}"/>
    <cellStyle name="40% - Accent2 4 2 3 6" xfId="19165" xr:uid="{00000000-0005-0000-0000-000003270000}"/>
    <cellStyle name="40% - Accent2 4 2 4" xfId="8015" xr:uid="{00000000-0005-0000-0000-000004270000}"/>
    <cellStyle name="40% - Accent2 4 2 4 2" xfId="8016" xr:uid="{00000000-0005-0000-0000-000005270000}"/>
    <cellStyle name="40% - Accent2 4 2 4 2 2" xfId="8017" xr:uid="{00000000-0005-0000-0000-000006270000}"/>
    <cellStyle name="40% - Accent2 4 2 4 2 2 2" xfId="8018" xr:uid="{00000000-0005-0000-0000-000007270000}"/>
    <cellStyle name="40% - Accent2 4 2 4 2 2 3" xfId="23368" xr:uid="{00000000-0005-0000-0000-000008270000}"/>
    <cellStyle name="40% - Accent2 4 2 4 2 3" xfId="8019" xr:uid="{00000000-0005-0000-0000-000009270000}"/>
    <cellStyle name="40% - Accent2 4 2 4 2 4" xfId="20785" xr:uid="{00000000-0005-0000-0000-00000A270000}"/>
    <cellStyle name="40% - Accent2 4 2 4 3" xfId="8020" xr:uid="{00000000-0005-0000-0000-00000B270000}"/>
    <cellStyle name="40% - Accent2 4 2 4 3 2" xfId="8021" xr:uid="{00000000-0005-0000-0000-00000C270000}"/>
    <cellStyle name="40% - Accent2 4 2 4 3 3" xfId="22078" xr:uid="{00000000-0005-0000-0000-00000D270000}"/>
    <cellStyle name="40% - Accent2 4 2 4 4" xfId="8022" xr:uid="{00000000-0005-0000-0000-00000E270000}"/>
    <cellStyle name="40% - Accent2 4 2 4 5" xfId="19491" xr:uid="{00000000-0005-0000-0000-00000F270000}"/>
    <cellStyle name="40% - Accent2 4 2 5" xfId="8023" xr:uid="{00000000-0005-0000-0000-000010270000}"/>
    <cellStyle name="40% - Accent2 4 2 5 2" xfId="8024" xr:uid="{00000000-0005-0000-0000-000011270000}"/>
    <cellStyle name="40% - Accent2 4 2 5 2 2" xfId="8025" xr:uid="{00000000-0005-0000-0000-000012270000}"/>
    <cellStyle name="40% - Accent2 4 2 5 2 3" xfId="22723" xr:uid="{00000000-0005-0000-0000-000013270000}"/>
    <cellStyle name="40% - Accent2 4 2 5 3" xfId="8026" xr:uid="{00000000-0005-0000-0000-000014270000}"/>
    <cellStyle name="40% - Accent2 4 2 5 4" xfId="20140" xr:uid="{00000000-0005-0000-0000-000015270000}"/>
    <cellStyle name="40% - Accent2 4 2 6" xfId="8027" xr:uid="{00000000-0005-0000-0000-000016270000}"/>
    <cellStyle name="40% - Accent2 4 2 6 2" xfId="8028" xr:uid="{00000000-0005-0000-0000-000017270000}"/>
    <cellStyle name="40% - Accent2 4 2 6 3" xfId="21433" xr:uid="{00000000-0005-0000-0000-000018270000}"/>
    <cellStyle name="40% - Accent2 4 2 7" xfId="8029" xr:uid="{00000000-0005-0000-0000-000019270000}"/>
    <cellStyle name="40% - Accent2 4 2 8" xfId="18834" xr:uid="{00000000-0005-0000-0000-00001A270000}"/>
    <cellStyle name="40% - Accent2 4 3" xfId="8030" xr:uid="{00000000-0005-0000-0000-00001B270000}"/>
    <cellStyle name="40% - Accent2 4 3 2" xfId="8031" xr:uid="{00000000-0005-0000-0000-00001C270000}"/>
    <cellStyle name="40% - Accent2 4 3 2 2" xfId="8032" xr:uid="{00000000-0005-0000-0000-00001D270000}"/>
    <cellStyle name="40% - Accent2 4 3 2 2 2" xfId="8033" xr:uid="{00000000-0005-0000-0000-00001E270000}"/>
    <cellStyle name="40% - Accent2 4 3 2 2 2 2" xfId="8034" xr:uid="{00000000-0005-0000-0000-00001F270000}"/>
    <cellStyle name="40% - Accent2 4 3 2 2 2 2 2" xfId="8035" xr:uid="{00000000-0005-0000-0000-000020270000}"/>
    <cellStyle name="40% - Accent2 4 3 2 2 2 2 3" xfId="23771" xr:uid="{00000000-0005-0000-0000-000021270000}"/>
    <cellStyle name="40% - Accent2 4 3 2 2 2 3" xfId="8036" xr:uid="{00000000-0005-0000-0000-000022270000}"/>
    <cellStyle name="40% - Accent2 4 3 2 2 2 4" xfId="21188" xr:uid="{00000000-0005-0000-0000-000023270000}"/>
    <cellStyle name="40% - Accent2 4 3 2 2 3" xfId="8037" xr:uid="{00000000-0005-0000-0000-000024270000}"/>
    <cellStyle name="40% - Accent2 4 3 2 2 3 2" xfId="8038" xr:uid="{00000000-0005-0000-0000-000025270000}"/>
    <cellStyle name="40% - Accent2 4 3 2 2 3 3" xfId="22481" xr:uid="{00000000-0005-0000-0000-000026270000}"/>
    <cellStyle name="40% - Accent2 4 3 2 2 4" xfId="8039" xr:uid="{00000000-0005-0000-0000-000027270000}"/>
    <cellStyle name="40% - Accent2 4 3 2 2 5" xfId="19894" xr:uid="{00000000-0005-0000-0000-000028270000}"/>
    <cellStyle name="40% - Accent2 4 3 2 3" xfId="8040" xr:uid="{00000000-0005-0000-0000-000029270000}"/>
    <cellStyle name="40% - Accent2 4 3 2 3 2" xfId="8041" xr:uid="{00000000-0005-0000-0000-00002A270000}"/>
    <cellStyle name="40% - Accent2 4 3 2 3 2 2" xfId="8042" xr:uid="{00000000-0005-0000-0000-00002B270000}"/>
    <cellStyle name="40% - Accent2 4 3 2 3 2 3" xfId="23126" xr:uid="{00000000-0005-0000-0000-00002C270000}"/>
    <cellStyle name="40% - Accent2 4 3 2 3 3" xfId="8043" xr:uid="{00000000-0005-0000-0000-00002D270000}"/>
    <cellStyle name="40% - Accent2 4 3 2 3 4" xfId="20543" xr:uid="{00000000-0005-0000-0000-00002E270000}"/>
    <cellStyle name="40% - Accent2 4 3 2 4" xfId="8044" xr:uid="{00000000-0005-0000-0000-00002F270000}"/>
    <cellStyle name="40% - Accent2 4 3 2 4 2" xfId="8045" xr:uid="{00000000-0005-0000-0000-000030270000}"/>
    <cellStyle name="40% - Accent2 4 3 2 4 3" xfId="21836" xr:uid="{00000000-0005-0000-0000-000031270000}"/>
    <cellStyle name="40% - Accent2 4 3 2 5" xfId="8046" xr:uid="{00000000-0005-0000-0000-000032270000}"/>
    <cellStyle name="40% - Accent2 4 3 2 6" xfId="19246" xr:uid="{00000000-0005-0000-0000-000033270000}"/>
    <cellStyle name="40% - Accent2 4 3 3" xfId="8047" xr:uid="{00000000-0005-0000-0000-000034270000}"/>
    <cellStyle name="40% - Accent2 4 3 3 2" xfId="8048" xr:uid="{00000000-0005-0000-0000-000035270000}"/>
    <cellStyle name="40% - Accent2 4 3 3 2 2" xfId="8049" xr:uid="{00000000-0005-0000-0000-000036270000}"/>
    <cellStyle name="40% - Accent2 4 3 3 2 2 2" xfId="8050" xr:uid="{00000000-0005-0000-0000-000037270000}"/>
    <cellStyle name="40% - Accent2 4 3 3 2 2 3" xfId="23449" xr:uid="{00000000-0005-0000-0000-000038270000}"/>
    <cellStyle name="40% - Accent2 4 3 3 2 3" xfId="8051" xr:uid="{00000000-0005-0000-0000-000039270000}"/>
    <cellStyle name="40% - Accent2 4 3 3 2 4" xfId="20866" xr:uid="{00000000-0005-0000-0000-00003A270000}"/>
    <cellStyle name="40% - Accent2 4 3 3 3" xfId="8052" xr:uid="{00000000-0005-0000-0000-00003B270000}"/>
    <cellStyle name="40% - Accent2 4 3 3 3 2" xfId="8053" xr:uid="{00000000-0005-0000-0000-00003C270000}"/>
    <cellStyle name="40% - Accent2 4 3 3 3 3" xfId="22159" xr:uid="{00000000-0005-0000-0000-00003D270000}"/>
    <cellStyle name="40% - Accent2 4 3 3 4" xfId="8054" xr:uid="{00000000-0005-0000-0000-00003E270000}"/>
    <cellStyle name="40% - Accent2 4 3 3 5" xfId="19572" xr:uid="{00000000-0005-0000-0000-00003F270000}"/>
    <cellStyle name="40% - Accent2 4 3 4" xfId="8055" xr:uid="{00000000-0005-0000-0000-000040270000}"/>
    <cellStyle name="40% - Accent2 4 3 4 2" xfId="8056" xr:uid="{00000000-0005-0000-0000-000041270000}"/>
    <cellStyle name="40% - Accent2 4 3 4 2 2" xfId="8057" xr:uid="{00000000-0005-0000-0000-000042270000}"/>
    <cellStyle name="40% - Accent2 4 3 4 2 3" xfId="22804" xr:uid="{00000000-0005-0000-0000-000043270000}"/>
    <cellStyle name="40% - Accent2 4 3 4 3" xfId="8058" xr:uid="{00000000-0005-0000-0000-000044270000}"/>
    <cellStyle name="40% - Accent2 4 3 4 4" xfId="20221" xr:uid="{00000000-0005-0000-0000-000045270000}"/>
    <cellStyle name="40% - Accent2 4 3 5" xfId="8059" xr:uid="{00000000-0005-0000-0000-000046270000}"/>
    <cellStyle name="40% - Accent2 4 3 5 2" xfId="8060" xr:uid="{00000000-0005-0000-0000-000047270000}"/>
    <cellStyle name="40% - Accent2 4 3 5 3" xfId="21514" xr:uid="{00000000-0005-0000-0000-000048270000}"/>
    <cellStyle name="40% - Accent2 4 3 6" xfId="8061" xr:uid="{00000000-0005-0000-0000-000049270000}"/>
    <cellStyle name="40% - Accent2 4 3 7" xfId="18920" xr:uid="{00000000-0005-0000-0000-00004A270000}"/>
    <cellStyle name="40% - Accent2 4 4" xfId="8062" xr:uid="{00000000-0005-0000-0000-00004B270000}"/>
    <cellStyle name="40% - Accent2 4 4 2" xfId="8063" xr:uid="{00000000-0005-0000-0000-00004C270000}"/>
    <cellStyle name="40% - Accent2 4 4 2 2" xfId="8064" xr:uid="{00000000-0005-0000-0000-00004D270000}"/>
    <cellStyle name="40% - Accent2 4 4 2 2 2" xfId="8065" xr:uid="{00000000-0005-0000-0000-00004E270000}"/>
    <cellStyle name="40% - Accent2 4 4 2 2 2 2" xfId="8066" xr:uid="{00000000-0005-0000-0000-00004F270000}"/>
    <cellStyle name="40% - Accent2 4 4 2 2 2 3" xfId="23610" xr:uid="{00000000-0005-0000-0000-000050270000}"/>
    <cellStyle name="40% - Accent2 4 4 2 2 3" xfId="8067" xr:uid="{00000000-0005-0000-0000-000051270000}"/>
    <cellStyle name="40% - Accent2 4 4 2 2 4" xfId="21027" xr:uid="{00000000-0005-0000-0000-000052270000}"/>
    <cellStyle name="40% - Accent2 4 4 2 3" xfId="8068" xr:uid="{00000000-0005-0000-0000-000053270000}"/>
    <cellStyle name="40% - Accent2 4 4 2 3 2" xfId="8069" xr:uid="{00000000-0005-0000-0000-000054270000}"/>
    <cellStyle name="40% - Accent2 4 4 2 3 3" xfId="22320" xr:uid="{00000000-0005-0000-0000-000055270000}"/>
    <cellStyle name="40% - Accent2 4 4 2 4" xfId="8070" xr:uid="{00000000-0005-0000-0000-000056270000}"/>
    <cellStyle name="40% - Accent2 4 4 2 5" xfId="19733" xr:uid="{00000000-0005-0000-0000-000057270000}"/>
    <cellStyle name="40% - Accent2 4 4 3" xfId="8071" xr:uid="{00000000-0005-0000-0000-000058270000}"/>
    <cellStyle name="40% - Accent2 4 4 3 2" xfId="8072" xr:uid="{00000000-0005-0000-0000-000059270000}"/>
    <cellStyle name="40% - Accent2 4 4 3 2 2" xfId="8073" xr:uid="{00000000-0005-0000-0000-00005A270000}"/>
    <cellStyle name="40% - Accent2 4 4 3 2 3" xfId="22965" xr:uid="{00000000-0005-0000-0000-00005B270000}"/>
    <cellStyle name="40% - Accent2 4 4 3 3" xfId="8074" xr:uid="{00000000-0005-0000-0000-00005C270000}"/>
    <cellStyle name="40% - Accent2 4 4 3 4" xfId="20382" xr:uid="{00000000-0005-0000-0000-00005D270000}"/>
    <cellStyle name="40% - Accent2 4 4 4" xfId="8075" xr:uid="{00000000-0005-0000-0000-00005E270000}"/>
    <cellStyle name="40% - Accent2 4 4 4 2" xfId="8076" xr:uid="{00000000-0005-0000-0000-00005F270000}"/>
    <cellStyle name="40% - Accent2 4 4 4 3" xfId="21675" xr:uid="{00000000-0005-0000-0000-000060270000}"/>
    <cellStyle name="40% - Accent2 4 4 5" xfId="8077" xr:uid="{00000000-0005-0000-0000-000061270000}"/>
    <cellStyle name="40% - Accent2 4 4 6" xfId="19085" xr:uid="{00000000-0005-0000-0000-000062270000}"/>
    <cellStyle name="40% - Accent2 4 5" xfId="8078" xr:uid="{00000000-0005-0000-0000-000063270000}"/>
    <cellStyle name="40% - Accent2 4 5 2" xfId="8079" xr:uid="{00000000-0005-0000-0000-000064270000}"/>
    <cellStyle name="40% - Accent2 4 5 2 2" xfId="8080" xr:uid="{00000000-0005-0000-0000-000065270000}"/>
    <cellStyle name="40% - Accent2 4 5 2 2 2" xfId="8081" xr:uid="{00000000-0005-0000-0000-000066270000}"/>
    <cellStyle name="40% - Accent2 4 5 2 2 3" xfId="23287" xr:uid="{00000000-0005-0000-0000-000067270000}"/>
    <cellStyle name="40% - Accent2 4 5 2 3" xfId="8082" xr:uid="{00000000-0005-0000-0000-000068270000}"/>
    <cellStyle name="40% - Accent2 4 5 2 4" xfId="20704" xr:uid="{00000000-0005-0000-0000-000069270000}"/>
    <cellStyle name="40% - Accent2 4 5 3" xfId="8083" xr:uid="{00000000-0005-0000-0000-00006A270000}"/>
    <cellStyle name="40% - Accent2 4 5 3 2" xfId="8084" xr:uid="{00000000-0005-0000-0000-00006B270000}"/>
    <cellStyle name="40% - Accent2 4 5 3 3" xfId="21997" xr:uid="{00000000-0005-0000-0000-00006C270000}"/>
    <cellStyle name="40% - Accent2 4 5 4" xfId="8085" xr:uid="{00000000-0005-0000-0000-00006D270000}"/>
    <cellStyle name="40% - Accent2 4 5 5" xfId="19411" xr:uid="{00000000-0005-0000-0000-00006E270000}"/>
    <cellStyle name="40% - Accent2 4 6" xfId="8086" xr:uid="{00000000-0005-0000-0000-00006F270000}"/>
    <cellStyle name="40% - Accent2 4 6 2" xfId="8087" xr:uid="{00000000-0005-0000-0000-000070270000}"/>
    <cellStyle name="40% - Accent2 4 6 2 2" xfId="8088" xr:uid="{00000000-0005-0000-0000-000071270000}"/>
    <cellStyle name="40% - Accent2 4 6 2 3" xfId="22642" xr:uid="{00000000-0005-0000-0000-000072270000}"/>
    <cellStyle name="40% - Accent2 4 6 3" xfId="8089" xr:uid="{00000000-0005-0000-0000-000073270000}"/>
    <cellStyle name="40% - Accent2 4 6 4" xfId="20059" xr:uid="{00000000-0005-0000-0000-000074270000}"/>
    <cellStyle name="40% - Accent2 4 7" xfId="8090" xr:uid="{00000000-0005-0000-0000-000075270000}"/>
    <cellStyle name="40% - Accent2 4 7 2" xfId="8091" xr:uid="{00000000-0005-0000-0000-000076270000}"/>
    <cellStyle name="40% - Accent2 4 7 3" xfId="21352" xr:uid="{00000000-0005-0000-0000-000077270000}"/>
    <cellStyle name="40% - Accent2 4 8" xfId="8092" xr:uid="{00000000-0005-0000-0000-000078270000}"/>
    <cellStyle name="40% - Accent2 4 9" xfId="18734" xr:uid="{00000000-0005-0000-0000-000079270000}"/>
    <cellStyle name="40% - Accent2 5" xfId="8093" xr:uid="{00000000-0005-0000-0000-00007A270000}"/>
    <cellStyle name="40% - Accent2 5 2" xfId="8094" xr:uid="{00000000-0005-0000-0000-00007B270000}"/>
    <cellStyle name="40% - Accent2 5 2 2" xfId="8095" xr:uid="{00000000-0005-0000-0000-00007C270000}"/>
    <cellStyle name="40% - Accent2 5 2 2 2" xfId="8096" xr:uid="{00000000-0005-0000-0000-00007D270000}"/>
    <cellStyle name="40% - Accent2 5 2 2 2 2" xfId="8097" xr:uid="{00000000-0005-0000-0000-00007E270000}"/>
    <cellStyle name="40% - Accent2 5 2 2 2 2 2" xfId="8098" xr:uid="{00000000-0005-0000-0000-00007F270000}"/>
    <cellStyle name="40% - Accent2 5 2 2 2 2 2 2" xfId="8099" xr:uid="{00000000-0005-0000-0000-000080270000}"/>
    <cellStyle name="40% - Accent2 5 2 2 2 2 2 3" xfId="23811" xr:uid="{00000000-0005-0000-0000-000081270000}"/>
    <cellStyle name="40% - Accent2 5 2 2 2 2 3" xfId="8100" xr:uid="{00000000-0005-0000-0000-000082270000}"/>
    <cellStyle name="40% - Accent2 5 2 2 2 2 4" xfId="21228" xr:uid="{00000000-0005-0000-0000-000083270000}"/>
    <cellStyle name="40% - Accent2 5 2 2 2 3" xfId="8101" xr:uid="{00000000-0005-0000-0000-000084270000}"/>
    <cellStyle name="40% - Accent2 5 2 2 2 3 2" xfId="8102" xr:uid="{00000000-0005-0000-0000-000085270000}"/>
    <cellStyle name="40% - Accent2 5 2 2 2 3 3" xfId="22521" xr:uid="{00000000-0005-0000-0000-000086270000}"/>
    <cellStyle name="40% - Accent2 5 2 2 2 4" xfId="8103" xr:uid="{00000000-0005-0000-0000-000087270000}"/>
    <cellStyle name="40% - Accent2 5 2 2 2 5" xfId="19934" xr:uid="{00000000-0005-0000-0000-000088270000}"/>
    <cellStyle name="40% - Accent2 5 2 2 3" xfId="8104" xr:uid="{00000000-0005-0000-0000-000089270000}"/>
    <cellStyle name="40% - Accent2 5 2 2 3 2" xfId="8105" xr:uid="{00000000-0005-0000-0000-00008A270000}"/>
    <cellStyle name="40% - Accent2 5 2 2 3 2 2" xfId="8106" xr:uid="{00000000-0005-0000-0000-00008B270000}"/>
    <cellStyle name="40% - Accent2 5 2 2 3 2 3" xfId="23166" xr:uid="{00000000-0005-0000-0000-00008C270000}"/>
    <cellStyle name="40% - Accent2 5 2 2 3 3" xfId="8107" xr:uid="{00000000-0005-0000-0000-00008D270000}"/>
    <cellStyle name="40% - Accent2 5 2 2 3 4" xfId="20583" xr:uid="{00000000-0005-0000-0000-00008E270000}"/>
    <cellStyle name="40% - Accent2 5 2 2 4" xfId="8108" xr:uid="{00000000-0005-0000-0000-00008F270000}"/>
    <cellStyle name="40% - Accent2 5 2 2 4 2" xfId="8109" xr:uid="{00000000-0005-0000-0000-000090270000}"/>
    <cellStyle name="40% - Accent2 5 2 2 4 3" xfId="21876" xr:uid="{00000000-0005-0000-0000-000091270000}"/>
    <cellStyle name="40% - Accent2 5 2 2 5" xfId="8110" xr:uid="{00000000-0005-0000-0000-000092270000}"/>
    <cellStyle name="40% - Accent2 5 2 2 6" xfId="19286" xr:uid="{00000000-0005-0000-0000-000093270000}"/>
    <cellStyle name="40% - Accent2 5 2 3" xfId="8111" xr:uid="{00000000-0005-0000-0000-000094270000}"/>
    <cellStyle name="40% - Accent2 5 2 3 2" xfId="8112" xr:uid="{00000000-0005-0000-0000-000095270000}"/>
    <cellStyle name="40% - Accent2 5 2 3 2 2" xfId="8113" xr:uid="{00000000-0005-0000-0000-000096270000}"/>
    <cellStyle name="40% - Accent2 5 2 3 2 2 2" xfId="8114" xr:uid="{00000000-0005-0000-0000-000097270000}"/>
    <cellStyle name="40% - Accent2 5 2 3 2 2 3" xfId="23489" xr:uid="{00000000-0005-0000-0000-000098270000}"/>
    <cellStyle name="40% - Accent2 5 2 3 2 3" xfId="8115" xr:uid="{00000000-0005-0000-0000-000099270000}"/>
    <cellStyle name="40% - Accent2 5 2 3 2 4" xfId="20906" xr:uid="{00000000-0005-0000-0000-00009A270000}"/>
    <cellStyle name="40% - Accent2 5 2 3 3" xfId="8116" xr:uid="{00000000-0005-0000-0000-00009B270000}"/>
    <cellStyle name="40% - Accent2 5 2 3 3 2" xfId="8117" xr:uid="{00000000-0005-0000-0000-00009C270000}"/>
    <cellStyle name="40% - Accent2 5 2 3 3 3" xfId="22199" xr:uid="{00000000-0005-0000-0000-00009D270000}"/>
    <cellStyle name="40% - Accent2 5 2 3 4" xfId="8118" xr:uid="{00000000-0005-0000-0000-00009E270000}"/>
    <cellStyle name="40% - Accent2 5 2 3 5" xfId="19612" xr:uid="{00000000-0005-0000-0000-00009F270000}"/>
    <cellStyle name="40% - Accent2 5 2 4" xfId="8119" xr:uid="{00000000-0005-0000-0000-0000A0270000}"/>
    <cellStyle name="40% - Accent2 5 2 4 2" xfId="8120" xr:uid="{00000000-0005-0000-0000-0000A1270000}"/>
    <cellStyle name="40% - Accent2 5 2 4 2 2" xfId="8121" xr:uid="{00000000-0005-0000-0000-0000A2270000}"/>
    <cellStyle name="40% - Accent2 5 2 4 2 3" xfId="22844" xr:uid="{00000000-0005-0000-0000-0000A3270000}"/>
    <cellStyle name="40% - Accent2 5 2 4 3" xfId="8122" xr:uid="{00000000-0005-0000-0000-0000A4270000}"/>
    <cellStyle name="40% - Accent2 5 2 4 4" xfId="20261" xr:uid="{00000000-0005-0000-0000-0000A5270000}"/>
    <cellStyle name="40% - Accent2 5 2 5" xfId="8123" xr:uid="{00000000-0005-0000-0000-0000A6270000}"/>
    <cellStyle name="40% - Accent2 5 2 5 2" xfId="8124" xr:uid="{00000000-0005-0000-0000-0000A7270000}"/>
    <cellStyle name="40% - Accent2 5 2 5 3" xfId="21554" xr:uid="{00000000-0005-0000-0000-0000A8270000}"/>
    <cellStyle name="40% - Accent2 5 2 6" xfId="8125" xr:uid="{00000000-0005-0000-0000-0000A9270000}"/>
    <cellStyle name="40% - Accent2 5 2 7" xfId="18960" xr:uid="{00000000-0005-0000-0000-0000AA270000}"/>
    <cellStyle name="40% - Accent2 5 3" xfId="8126" xr:uid="{00000000-0005-0000-0000-0000AB270000}"/>
    <cellStyle name="40% - Accent2 5 3 2" xfId="8127" xr:uid="{00000000-0005-0000-0000-0000AC270000}"/>
    <cellStyle name="40% - Accent2 5 3 2 2" xfId="8128" xr:uid="{00000000-0005-0000-0000-0000AD270000}"/>
    <cellStyle name="40% - Accent2 5 3 2 2 2" xfId="8129" xr:uid="{00000000-0005-0000-0000-0000AE270000}"/>
    <cellStyle name="40% - Accent2 5 3 2 2 2 2" xfId="8130" xr:uid="{00000000-0005-0000-0000-0000AF270000}"/>
    <cellStyle name="40% - Accent2 5 3 2 2 2 3" xfId="23650" xr:uid="{00000000-0005-0000-0000-0000B0270000}"/>
    <cellStyle name="40% - Accent2 5 3 2 2 3" xfId="8131" xr:uid="{00000000-0005-0000-0000-0000B1270000}"/>
    <cellStyle name="40% - Accent2 5 3 2 2 4" xfId="21067" xr:uid="{00000000-0005-0000-0000-0000B2270000}"/>
    <cellStyle name="40% - Accent2 5 3 2 3" xfId="8132" xr:uid="{00000000-0005-0000-0000-0000B3270000}"/>
    <cellStyle name="40% - Accent2 5 3 2 3 2" xfId="8133" xr:uid="{00000000-0005-0000-0000-0000B4270000}"/>
    <cellStyle name="40% - Accent2 5 3 2 3 3" xfId="22360" xr:uid="{00000000-0005-0000-0000-0000B5270000}"/>
    <cellStyle name="40% - Accent2 5 3 2 4" xfId="8134" xr:uid="{00000000-0005-0000-0000-0000B6270000}"/>
    <cellStyle name="40% - Accent2 5 3 2 5" xfId="19773" xr:uid="{00000000-0005-0000-0000-0000B7270000}"/>
    <cellStyle name="40% - Accent2 5 3 3" xfId="8135" xr:uid="{00000000-0005-0000-0000-0000B8270000}"/>
    <cellStyle name="40% - Accent2 5 3 3 2" xfId="8136" xr:uid="{00000000-0005-0000-0000-0000B9270000}"/>
    <cellStyle name="40% - Accent2 5 3 3 2 2" xfId="8137" xr:uid="{00000000-0005-0000-0000-0000BA270000}"/>
    <cellStyle name="40% - Accent2 5 3 3 2 3" xfId="23005" xr:uid="{00000000-0005-0000-0000-0000BB270000}"/>
    <cellStyle name="40% - Accent2 5 3 3 3" xfId="8138" xr:uid="{00000000-0005-0000-0000-0000BC270000}"/>
    <cellStyle name="40% - Accent2 5 3 3 4" xfId="20422" xr:uid="{00000000-0005-0000-0000-0000BD270000}"/>
    <cellStyle name="40% - Accent2 5 3 4" xfId="8139" xr:uid="{00000000-0005-0000-0000-0000BE270000}"/>
    <cellStyle name="40% - Accent2 5 3 4 2" xfId="8140" xr:uid="{00000000-0005-0000-0000-0000BF270000}"/>
    <cellStyle name="40% - Accent2 5 3 4 3" xfId="21715" xr:uid="{00000000-0005-0000-0000-0000C0270000}"/>
    <cellStyle name="40% - Accent2 5 3 5" xfId="8141" xr:uid="{00000000-0005-0000-0000-0000C1270000}"/>
    <cellStyle name="40% - Accent2 5 3 6" xfId="19125" xr:uid="{00000000-0005-0000-0000-0000C2270000}"/>
    <cellStyle name="40% - Accent2 5 4" xfId="8142" xr:uid="{00000000-0005-0000-0000-0000C3270000}"/>
    <cellStyle name="40% - Accent2 5 4 2" xfId="8143" xr:uid="{00000000-0005-0000-0000-0000C4270000}"/>
    <cellStyle name="40% - Accent2 5 4 2 2" xfId="8144" xr:uid="{00000000-0005-0000-0000-0000C5270000}"/>
    <cellStyle name="40% - Accent2 5 4 2 2 2" xfId="8145" xr:uid="{00000000-0005-0000-0000-0000C6270000}"/>
    <cellStyle name="40% - Accent2 5 4 2 2 3" xfId="23327" xr:uid="{00000000-0005-0000-0000-0000C7270000}"/>
    <cellStyle name="40% - Accent2 5 4 2 3" xfId="8146" xr:uid="{00000000-0005-0000-0000-0000C8270000}"/>
    <cellStyle name="40% - Accent2 5 4 2 4" xfId="20744" xr:uid="{00000000-0005-0000-0000-0000C9270000}"/>
    <cellStyle name="40% - Accent2 5 4 3" xfId="8147" xr:uid="{00000000-0005-0000-0000-0000CA270000}"/>
    <cellStyle name="40% - Accent2 5 4 3 2" xfId="8148" xr:uid="{00000000-0005-0000-0000-0000CB270000}"/>
    <cellStyle name="40% - Accent2 5 4 3 3" xfId="22037" xr:uid="{00000000-0005-0000-0000-0000CC270000}"/>
    <cellStyle name="40% - Accent2 5 4 4" xfId="8149" xr:uid="{00000000-0005-0000-0000-0000CD270000}"/>
    <cellStyle name="40% - Accent2 5 4 5" xfId="19451" xr:uid="{00000000-0005-0000-0000-0000CE270000}"/>
    <cellStyle name="40% - Accent2 5 5" xfId="8150" xr:uid="{00000000-0005-0000-0000-0000CF270000}"/>
    <cellStyle name="40% - Accent2 5 5 2" xfId="8151" xr:uid="{00000000-0005-0000-0000-0000D0270000}"/>
    <cellStyle name="40% - Accent2 5 5 2 2" xfId="8152" xr:uid="{00000000-0005-0000-0000-0000D1270000}"/>
    <cellStyle name="40% - Accent2 5 5 2 3" xfId="22682" xr:uid="{00000000-0005-0000-0000-0000D2270000}"/>
    <cellStyle name="40% - Accent2 5 5 3" xfId="8153" xr:uid="{00000000-0005-0000-0000-0000D3270000}"/>
    <cellStyle name="40% - Accent2 5 5 4" xfId="20099" xr:uid="{00000000-0005-0000-0000-0000D4270000}"/>
    <cellStyle name="40% - Accent2 5 6" xfId="8154" xr:uid="{00000000-0005-0000-0000-0000D5270000}"/>
    <cellStyle name="40% - Accent2 5 6 2" xfId="8155" xr:uid="{00000000-0005-0000-0000-0000D6270000}"/>
    <cellStyle name="40% - Accent2 5 6 3" xfId="21392" xr:uid="{00000000-0005-0000-0000-0000D7270000}"/>
    <cellStyle name="40% - Accent2 5 7" xfId="8156" xr:uid="{00000000-0005-0000-0000-0000D8270000}"/>
    <cellStyle name="40% - Accent2 5 8" xfId="18787" xr:uid="{00000000-0005-0000-0000-0000D9270000}"/>
    <cellStyle name="40% - Accent2 6" xfId="8157" xr:uid="{00000000-0005-0000-0000-0000DA270000}"/>
    <cellStyle name="40% - Accent2 6 2" xfId="8158" xr:uid="{00000000-0005-0000-0000-0000DB270000}"/>
    <cellStyle name="40% - Accent2 6 2 2" xfId="8159" xr:uid="{00000000-0005-0000-0000-0000DC270000}"/>
    <cellStyle name="40% - Accent2 6 2 2 2" xfId="8160" xr:uid="{00000000-0005-0000-0000-0000DD270000}"/>
    <cellStyle name="40% - Accent2 6 2 2 2 2" xfId="8161" xr:uid="{00000000-0005-0000-0000-0000DE270000}"/>
    <cellStyle name="40% - Accent2 6 2 2 2 2 2" xfId="8162" xr:uid="{00000000-0005-0000-0000-0000DF270000}"/>
    <cellStyle name="40% - Accent2 6 2 2 2 2 3" xfId="23730" xr:uid="{00000000-0005-0000-0000-0000E0270000}"/>
    <cellStyle name="40% - Accent2 6 2 2 2 3" xfId="8163" xr:uid="{00000000-0005-0000-0000-0000E1270000}"/>
    <cellStyle name="40% - Accent2 6 2 2 2 4" xfId="21147" xr:uid="{00000000-0005-0000-0000-0000E2270000}"/>
    <cellStyle name="40% - Accent2 6 2 2 3" xfId="8164" xr:uid="{00000000-0005-0000-0000-0000E3270000}"/>
    <cellStyle name="40% - Accent2 6 2 2 3 2" xfId="8165" xr:uid="{00000000-0005-0000-0000-0000E4270000}"/>
    <cellStyle name="40% - Accent2 6 2 2 3 3" xfId="22440" xr:uid="{00000000-0005-0000-0000-0000E5270000}"/>
    <cellStyle name="40% - Accent2 6 2 2 4" xfId="8166" xr:uid="{00000000-0005-0000-0000-0000E6270000}"/>
    <cellStyle name="40% - Accent2 6 2 2 5" xfId="19853" xr:uid="{00000000-0005-0000-0000-0000E7270000}"/>
    <cellStyle name="40% - Accent2 6 2 3" xfId="8167" xr:uid="{00000000-0005-0000-0000-0000E8270000}"/>
    <cellStyle name="40% - Accent2 6 2 3 2" xfId="8168" xr:uid="{00000000-0005-0000-0000-0000E9270000}"/>
    <cellStyle name="40% - Accent2 6 2 3 2 2" xfId="8169" xr:uid="{00000000-0005-0000-0000-0000EA270000}"/>
    <cellStyle name="40% - Accent2 6 2 3 2 3" xfId="23085" xr:uid="{00000000-0005-0000-0000-0000EB270000}"/>
    <cellStyle name="40% - Accent2 6 2 3 3" xfId="8170" xr:uid="{00000000-0005-0000-0000-0000EC270000}"/>
    <cellStyle name="40% - Accent2 6 2 3 4" xfId="20502" xr:uid="{00000000-0005-0000-0000-0000ED270000}"/>
    <cellStyle name="40% - Accent2 6 2 4" xfId="8171" xr:uid="{00000000-0005-0000-0000-0000EE270000}"/>
    <cellStyle name="40% - Accent2 6 2 4 2" xfId="8172" xr:uid="{00000000-0005-0000-0000-0000EF270000}"/>
    <cellStyle name="40% - Accent2 6 2 4 3" xfId="21795" xr:uid="{00000000-0005-0000-0000-0000F0270000}"/>
    <cellStyle name="40% - Accent2 6 2 5" xfId="8173" xr:uid="{00000000-0005-0000-0000-0000F1270000}"/>
    <cellStyle name="40% - Accent2 6 2 6" xfId="19205" xr:uid="{00000000-0005-0000-0000-0000F2270000}"/>
    <cellStyle name="40% - Accent2 6 3" xfId="8174" xr:uid="{00000000-0005-0000-0000-0000F3270000}"/>
    <cellStyle name="40% - Accent2 6 3 2" xfId="8175" xr:uid="{00000000-0005-0000-0000-0000F4270000}"/>
    <cellStyle name="40% - Accent2 6 3 2 2" xfId="8176" xr:uid="{00000000-0005-0000-0000-0000F5270000}"/>
    <cellStyle name="40% - Accent2 6 3 2 2 2" xfId="8177" xr:uid="{00000000-0005-0000-0000-0000F6270000}"/>
    <cellStyle name="40% - Accent2 6 3 2 2 3" xfId="23408" xr:uid="{00000000-0005-0000-0000-0000F7270000}"/>
    <cellStyle name="40% - Accent2 6 3 2 3" xfId="8178" xr:uid="{00000000-0005-0000-0000-0000F8270000}"/>
    <cellStyle name="40% - Accent2 6 3 2 4" xfId="20825" xr:uid="{00000000-0005-0000-0000-0000F9270000}"/>
    <cellStyle name="40% - Accent2 6 3 3" xfId="8179" xr:uid="{00000000-0005-0000-0000-0000FA270000}"/>
    <cellStyle name="40% - Accent2 6 3 3 2" xfId="8180" xr:uid="{00000000-0005-0000-0000-0000FB270000}"/>
    <cellStyle name="40% - Accent2 6 3 3 3" xfId="22118" xr:uid="{00000000-0005-0000-0000-0000FC270000}"/>
    <cellStyle name="40% - Accent2 6 3 4" xfId="8181" xr:uid="{00000000-0005-0000-0000-0000FD270000}"/>
    <cellStyle name="40% - Accent2 6 3 5" xfId="19531" xr:uid="{00000000-0005-0000-0000-0000FE270000}"/>
    <cellStyle name="40% - Accent2 6 4" xfId="8182" xr:uid="{00000000-0005-0000-0000-0000FF270000}"/>
    <cellStyle name="40% - Accent2 6 4 2" xfId="8183" xr:uid="{00000000-0005-0000-0000-000000280000}"/>
    <cellStyle name="40% - Accent2 6 4 2 2" xfId="8184" xr:uid="{00000000-0005-0000-0000-000001280000}"/>
    <cellStyle name="40% - Accent2 6 4 2 3" xfId="22763" xr:uid="{00000000-0005-0000-0000-000002280000}"/>
    <cellStyle name="40% - Accent2 6 4 3" xfId="8185" xr:uid="{00000000-0005-0000-0000-000003280000}"/>
    <cellStyle name="40% - Accent2 6 4 4" xfId="20180" xr:uid="{00000000-0005-0000-0000-000004280000}"/>
    <cellStyle name="40% - Accent2 6 5" xfId="8186" xr:uid="{00000000-0005-0000-0000-000005280000}"/>
    <cellStyle name="40% - Accent2 6 5 2" xfId="8187" xr:uid="{00000000-0005-0000-0000-000006280000}"/>
    <cellStyle name="40% - Accent2 6 5 3" xfId="21473" xr:uid="{00000000-0005-0000-0000-000007280000}"/>
    <cellStyle name="40% - Accent2 6 6" xfId="8188" xr:uid="{00000000-0005-0000-0000-000008280000}"/>
    <cellStyle name="40% - Accent2 6 7" xfId="18875" xr:uid="{00000000-0005-0000-0000-000009280000}"/>
    <cellStyle name="40% - Accent2 7" xfId="8189" xr:uid="{00000000-0005-0000-0000-00000A280000}"/>
    <cellStyle name="40% - Accent2 7 2" xfId="8190" xr:uid="{00000000-0005-0000-0000-00000B280000}"/>
    <cellStyle name="40% - Accent2 7 2 2" xfId="8191" xr:uid="{00000000-0005-0000-0000-00000C280000}"/>
    <cellStyle name="40% - Accent2 7 2 2 2" xfId="8192" xr:uid="{00000000-0005-0000-0000-00000D280000}"/>
    <cellStyle name="40% - Accent2 7 2 2 2 2" xfId="8193" xr:uid="{00000000-0005-0000-0000-00000E280000}"/>
    <cellStyle name="40% - Accent2 7 2 2 2 3" xfId="23569" xr:uid="{00000000-0005-0000-0000-00000F280000}"/>
    <cellStyle name="40% - Accent2 7 2 2 3" xfId="8194" xr:uid="{00000000-0005-0000-0000-000010280000}"/>
    <cellStyle name="40% - Accent2 7 2 2 4" xfId="20986" xr:uid="{00000000-0005-0000-0000-000011280000}"/>
    <cellStyle name="40% - Accent2 7 2 3" xfId="8195" xr:uid="{00000000-0005-0000-0000-000012280000}"/>
    <cellStyle name="40% - Accent2 7 2 3 2" xfId="8196" xr:uid="{00000000-0005-0000-0000-000013280000}"/>
    <cellStyle name="40% - Accent2 7 2 3 3" xfId="22279" xr:uid="{00000000-0005-0000-0000-000014280000}"/>
    <cellStyle name="40% - Accent2 7 2 4" xfId="8197" xr:uid="{00000000-0005-0000-0000-000015280000}"/>
    <cellStyle name="40% - Accent2 7 2 5" xfId="19692" xr:uid="{00000000-0005-0000-0000-000016280000}"/>
    <cellStyle name="40% - Accent2 7 3" xfId="8198" xr:uid="{00000000-0005-0000-0000-000017280000}"/>
    <cellStyle name="40% - Accent2 7 3 2" xfId="8199" xr:uid="{00000000-0005-0000-0000-000018280000}"/>
    <cellStyle name="40% - Accent2 7 3 2 2" xfId="8200" xr:uid="{00000000-0005-0000-0000-000019280000}"/>
    <cellStyle name="40% - Accent2 7 3 2 3" xfId="22924" xr:uid="{00000000-0005-0000-0000-00001A280000}"/>
    <cellStyle name="40% - Accent2 7 3 3" xfId="8201" xr:uid="{00000000-0005-0000-0000-00001B280000}"/>
    <cellStyle name="40% - Accent2 7 3 4" xfId="20341" xr:uid="{00000000-0005-0000-0000-00001C280000}"/>
    <cellStyle name="40% - Accent2 7 4" xfId="8202" xr:uid="{00000000-0005-0000-0000-00001D280000}"/>
    <cellStyle name="40% - Accent2 7 4 2" xfId="8203" xr:uid="{00000000-0005-0000-0000-00001E280000}"/>
    <cellStyle name="40% - Accent2 7 4 3" xfId="21634" xr:uid="{00000000-0005-0000-0000-00001F280000}"/>
    <cellStyle name="40% - Accent2 7 5" xfId="8204" xr:uid="{00000000-0005-0000-0000-000020280000}"/>
    <cellStyle name="40% - Accent2 7 6" xfId="19040" xr:uid="{00000000-0005-0000-0000-000021280000}"/>
    <cellStyle name="40% - Accent2 8" xfId="8205" xr:uid="{00000000-0005-0000-0000-000022280000}"/>
    <cellStyle name="40% - Accent2 8 2" xfId="8206" xr:uid="{00000000-0005-0000-0000-000023280000}"/>
    <cellStyle name="40% - Accent2 8 2 2" xfId="8207" xr:uid="{00000000-0005-0000-0000-000024280000}"/>
    <cellStyle name="40% - Accent2 8 2 2 2" xfId="8208" xr:uid="{00000000-0005-0000-0000-000025280000}"/>
    <cellStyle name="40% - Accent2 8 2 2 3" xfId="23246" xr:uid="{00000000-0005-0000-0000-000026280000}"/>
    <cellStyle name="40% - Accent2 8 2 3" xfId="8209" xr:uid="{00000000-0005-0000-0000-000027280000}"/>
    <cellStyle name="40% - Accent2 8 2 4" xfId="20663" xr:uid="{00000000-0005-0000-0000-000028280000}"/>
    <cellStyle name="40% - Accent2 8 3" xfId="8210" xr:uid="{00000000-0005-0000-0000-000029280000}"/>
    <cellStyle name="40% - Accent2 8 3 2" xfId="8211" xr:uid="{00000000-0005-0000-0000-00002A280000}"/>
    <cellStyle name="40% - Accent2 8 3 3" xfId="21956" xr:uid="{00000000-0005-0000-0000-00002B280000}"/>
    <cellStyle name="40% - Accent2 8 4" xfId="8212" xr:uid="{00000000-0005-0000-0000-00002C280000}"/>
    <cellStyle name="40% - Accent2 8 5" xfId="19366" xr:uid="{00000000-0005-0000-0000-00002D280000}"/>
    <cellStyle name="40% - Accent2 9" xfId="8213" xr:uid="{00000000-0005-0000-0000-00002E280000}"/>
    <cellStyle name="40% - Accent2 9 2" xfId="8214" xr:uid="{00000000-0005-0000-0000-00002F280000}"/>
    <cellStyle name="40% - Accent2 9 2 2" xfId="8215" xr:uid="{00000000-0005-0000-0000-000030280000}"/>
    <cellStyle name="40% - Accent2 9 2 3" xfId="22601" xr:uid="{00000000-0005-0000-0000-000031280000}"/>
    <cellStyle name="40% - Accent2 9 3" xfId="8216" xr:uid="{00000000-0005-0000-0000-000032280000}"/>
    <cellStyle name="40% - Accent2 9 4" xfId="20014" xr:uid="{00000000-0005-0000-0000-000033280000}"/>
    <cellStyle name="40% - Accent3 10" xfId="8217" xr:uid="{00000000-0005-0000-0000-000034280000}"/>
    <cellStyle name="40% - Accent3 10 2" xfId="8218" xr:uid="{00000000-0005-0000-0000-000035280000}"/>
    <cellStyle name="40% - Accent3 10 3" xfId="21309" xr:uid="{00000000-0005-0000-0000-000036280000}"/>
    <cellStyle name="40% - Accent3 11" xfId="8219" xr:uid="{00000000-0005-0000-0000-000037280000}"/>
    <cellStyle name="40% - Accent3 12" xfId="8220" xr:uid="{00000000-0005-0000-0000-000038280000}"/>
    <cellStyle name="40% - Accent3 13" xfId="8221" xr:uid="{00000000-0005-0000-0000-000039280000}"/>
    <cellStyle name="40% - Accent3 14" xfId="8222" xr:uid="{00000000-0005-0000-0000-00003A280000}"/>
    <cellStyle name="40% - Accent3 15" xfId="18618" xr:uid="{00000000-0005-0000-0000-00003B280000}"/>
    <cellStyle name="40% - Accent3 2" xfId="8223" xr:uid="{00000000-0005-0000-0000-00003C280000}"/>
    <cellStyle name="40% - Accent3 2 10" xfId="8224" xr:uid="{00000000-0005-0000-0000-00003D280000}"/>
    <cellStyle name="40% - Accent3 2 11" xfId="18638" xr:uid="{00000000-0005-0000-0000-00003E280000}"/>
    <cellStyle name="40% - Accent3 2 2" xfId="8225" xr:uid="{00000000-0005-0000-0000-00003F280000}"/>
    <cellStyle name="40% - Accent3 2 2 10" xfId="18725" xr:uid="{00000000-0005-0000-0000-000040280000}"/>
    <cellStyle name="40% - Accent3 2 2 2" xfId="8226" xr:uid="{00000000-0005-0000-0000-000041280000}"/>
    <cellStyle name="40% - Accent3 2 2 2 2" xfId="8227" xr:uid="{00000000-0005-0000-0000-000042280000}"/>
    <cellStyle name="40% - Accent3 2 2 2 2 2" xfId="8228" xr:uid="{00000000-0005-0000-0000-000043280000}"/>
    <cellStyle name="40% - Accent3 2 2 2 2 2 2" xfId="8229" xr:uid="{00000000-0005-0000-0000-000044280000}"/>
    <cellStyle name="40% - Accent3 2 2 2 2 2 2 2" xfId="8230" xr:uid="{00000000-0005-0000-0000-000045280000}"/>
    <cellStyle name="40% - Accent3 2 2 2 2 2 2 2 2" xfId="8231" xr:uid="{00000000-0005-0000-0000-000046280000}"/>
    <cellStyle name="40% - Accent3 2 2 2 2 2 2 2 2 2" xfId="8232" xr:uid="{00000000-0005-0000-0000-000047280000}"/>
    <cellStyle name="40% - Accent3 2 2 2 2 2 2 2 2 2 2" xfId="8233" xr:uid="{00000000-0005-0000-0000-000048280000}"/>
    <cellStyle name="40% - Accent3 2 2 2 2 2 2 2 2 2 3" xfId="23882" xr:uid="{00000000-0005-0000-0000-000049280000}"/>
    <cellStyle name="40% - Accent3 2 2 2 2 2 2 2 2 3" xfId="8234" xr:uid="{00000000-0005-0000-0000-00004A280000}"/>
    <cellStyle name="40% - Accent3 2 2 2 2 2 2 2 2 4" xfId="21299" xr:uid="{00000000-0005-0000-0000-00004B280000}"/>
    <cellStyle name="40% - Accent3 2 2 2 2 2 2 2 3" xfId="8235" xr:uid="{00000000-0005-0000-0000-00004C280000}"/>
    <cellStyle name="40% - Accent3 2 2 2 2 2 2 2 3 2" xfId="8236" xr:uid="{00000000-0005-0000-0000-00004D280000}"/>
    <cellStyle name="40% - Accent3 2 2 2 2 2 2 2 3 3" xfId="22592" xr:uid="{00000000-0005-0000-0000-00004E280000}"/>
    <cellStyle name="40% - Accent3 2 2 2 2 2 2 2 4" xfId="8237" xr:uid="{00000000-0005-0000-0000-00004F280000}"/>
    <cellStyle name="40% - Accent3 2 2 2 2 2 2 2 5" xfId="20005" xr:uid="{00000000-0005-0000-0000-000050280000}"/>
    <cellStyle name="40% - Accent3 2 2 2 2 2 2 3" xfId="8238" xr:uid="{00000000-0005-0000-0000-000051280000}"/>
    <cellStyle name="40% - Accent3 2 2 2 2 2 2 3 2" xfId="8239" xr:uid="{00000000-0005-0000-0000-000052280000}"/>
    <cellStyle name="40% - Accent3 2 2 2 2 2 2 3 2 2" xfId="8240" xr:uid="{00000000-0005-0000-0000-000053280000}"/>
    <cellStyle name="40% - Accent3 2 2 2 2 2 2 3 2 3" xfId="23237" xr:uid="{00000000-0005-0000-0000-000054280000}"/>
    <cellStyle name="40% - Accent3 2 2 2 2 2 2 3 3" xfId="8241" xr:uid="{00000000-0005-0000-0000-000055280000}"/>
    <cellStyle name="40% - Accent3 2 2 2 2 2 2 3 4" xfId="20654" xr:uid="{00000000-0005-0000-0000-000056280000}"/>
    <cellStyle name="40% - Accent3 2 2 2 2 2 2 4" xfId="8242" xr:uid="{00000000-0005-0000-0000-000057280000}"/>
    <cellStyle name="40% - Accent3 2 2 2 2 2 2 4 2" xfId="8243" xr:uid="{00000000-0005-0000-0000-000058280000}"/>
    <cellStyle name="40% - Accent3 2 2 2 2 2 2 4 3" xfId="21947" xr:uid="{00000000-0005-0000-0000-000059280000}"/>
    <cellStyle name="40% - Accent3 2 2 2 2 2 2 5" xfId="8244" xr:uid="{00000000-0005-0000-0000-00005A280000}"/>
    <cellStyle name="40% - Accent3 2 2 2 2 2 2 6" xfId="19357" xr:uid="{00000000-0005-0000-0000-00005B280000}"/>
    <cellStyle name="40% - Accent3 2 2 2 2 2 3" xfId="8245" xr:uid="{00000000-0005-0000-0000-00005C280000}"/>
    <cellStyle name="40% - Accent3 2 2 2 2 2 3 2" xfId="8246" xr:uid="{00000000-0005-0000-0000-00005D280000}"/>
    <cellStyle name="40% - Accent3 2 2 2 2 2 3 2 2" xfId="8247" xr:uid="{00000000-0005-0000-0000-00005E280000}"/>
    <cellStyle name="40% - Accent3 2 2 2 2 2 3 2 2 2" xfId="8248" xr:uid="{00000000-0005-0000-0000-00005F280000}"/>
    <cellStyle name="40% - Accent3 2 2 2 2 2 3 2 2 3" xfId="23560" xr:uid="{00000000-0005-0000-0000-000060280000}"/>
    <cellStyle name="40% - Accent3 2 2 2 2 2 3 2 3" xfId="8249" xr:uid="{00000000-0005-0000-0000-000061280000}"/>
    <cellStyle name="40% - Accent3 2 2 2 2 2 3 2 4" xfId="20977" xr:uid="{00000000-0005-0000-0000-000062280000}"/>
    <cellStyle name="40% - Accent3 2 2 2 2 2 3 3" xfId="8250" xr:uid="{00000000-0005-0000-0000-000063280000}"/>
    <cellStyle name="40% - Accent3 2 2 2 2 2 3 3 2" xfId="8251" xr:uid="{00000000-0005-0000-0000-000064280000}"/>
    <cellStyle name="40% - Accent3 2 2 2 2 2 3 3 3" xfId="22270" xr:uid="{00000000-0005-0000-0000-000065280000}"/>
    <cellStyle name="40% - Accent3 2 2 2 2 2 3 4" xfId="8252" xr:uid="{00000000-0005-0000-0000-000066280000}"/>
    <cellStyle name="40% - Accent3 2 2 2 2 2 3 5" xfId="19683" xr:uid="{00000000-0005-0000-0000-000067280000}"/>
    <cellStyle name="40% - Accent3 2 2 2 2 2 4" xfId="8253" xr:uid="{00000000-0005-0000-0000-000068280000}"/>
    <cellStyle name="40% - Accent3 2 2 2 2 2 4 2" xfId="8254" xr:uid="{00000000-0005-0000-0000-000069280000}"/>
    <cellStyle name="40% - Accent3 2 2 2 2 2 4 2 2" xfId="8255" xr:uid="{00000000-0005-0000-0000-00006A280000}"/>
    <cellStyle name="40% - Accent3 2 2 2 2 2 4 2 3" xfId="22915" xr:uid="{00000000-0005-0000-0000-00006B280000}"/>
    <cellStyle name="40% - Accent3 2 2 2 2 2 4 3" xfId="8256" xr:uid="{00000000-0005-0000-0000-00006C280000}"/>
    <cellStyle name="40% - Accent3 2 2 2 2 2 4 4" xfId="20332" xr:uid="{00000000-0005-0000-0000-00006D280000}"/>
    <cellStyle name="40% - Accent3 2 2 2 2 2 5" xfId="8257" xr:uid="{00000000-0005-0000-0000-00006E280000}"/>
    <cellStyle name="40% - Accent3 2 2 2 2 2 5 2" xfId="8258" xr:uid="{00000000-0005-0000-0000-00006F280000}"/>
    <cellStyle name="40% - Accent3 2 2 2 2 2 5 3" xfId="21625" xr:uid="{00000000-0005-0000-0000-000070280000}"/>
    <cellStyle name="40% - Accent3 2 2 2 2 2 6" xfId="8259" xr:uid="{00000000-0005-0000-0000-000071280000}"/>
    <cellStyle name="40% - Accent3 2 2 2 2 2 7" xfId="19031" xr:uid="{00000000-0005-0000-0000-000072280000}"/>
    <cellStyle name="40% - Accent3 2 2 2 2 3" xfId="8260" xr:uid="{00000000-0005-0000-0000-000073280000}"/>
    <cellStyle name="40% - Accent3 2 2 2 2 3 2" xfId="8261" xr:uid="{00000000-0005-0000-0000-000074280000}"/>
    <cellStyle name="40% - Accent3 2 2 2 2 3 2 2" xfId="8262" xr:uid="{00000000-0005-0000-0000-000075280000}"/>
    <cellStyle name="40% - Accent3 2 2 2 2 3 2 2 2" xfId="8263" xr:uid="{00000000-0005-0000-0000-000076280000}"/>
    <cellStyle name="40% - Accent3 2 2 2 2 3 2 2 2 2" xfId="8264" xr:uid="{00000000-0005-0000-0000-000077280000}"/>
    <cellStyle name="40% - Accent3 2 2 2 2 3 2 2 2 3" xfId="23721" xr:uid="{00000000-0005-0000-0000-000078280000}"/>
    <cellStyle name="40% - Accent3 2 2 2 2 3 2 2 3" xfId="8265" xr:uid="{00000000-0005-0000-0000-000079280000}"/>
    <cellStyle name="40% - Accent3 2 2 2 2 3 2 2 4" xfId="21138" xr:uid="{00000000-0005-0000-0000-00007A280000}"/>
    <cellStyle name="40% - Accent3 2 2 2 2 3 2 3" xfId="8266" xr:uid="{00000000-0005-0000-0000-00007B280000}"/>
    <cellStyle name="40% - Accent3 2 2 2 2 3 2 3 2" xfId="8267" xr:uid="{00000000-0005-0000-0000-00007C280000}"/>
    <cellStyle name="40% - Accent3 2 2 2 2 3 2 3 3" xfId="22431" xr:uid="{00000000-0005-0000-0000-00007D280000}"/>
    <cellStyle name="40% - Accent3 2 2 2 2 3 2 4" xfId="8268" xr:uid="{00000000-0005-0000-0000-00007E280000}"/>
    <cellStyle name="40% - Accent3 2 2 2 2 3 2 5" xfId="19844" xr:uid="{00000000-0005-0000-0000-00007F280000}"/>
    <cellStyle name="40% - Accent3 2 2 2 2 3 3" xfId="8269" xr:uid="{00000000-0005-0000-0000-000080280000}"/>
    <cellStyle name="40% - Accent3 2 2 2 2 3 3 2" xfId="8270" xr:uid="{00000000-0005-0000-0000-000081280000}"/>
    <cellStyle name="40% - Accent3 2 2 2 2 3 3 2 2" xfId="8271" xr:uid="{00000000-0005-0000-0000-000082280000}"/>
    <cellStyle name="40% - Accent3 2 2 2 2 3 3 2 3" xfId="23076" xr:uid="{00000000-0005-0000-0000-000083280000}"/>
    <cellStyle name="40% - Accent3 2 2 2 2 3 3 3" xfId="8272" xr:uid="{00000000-0005-0000-0000-000084280000}"/>
    <cellStyle name="40% - Accent3 2 2 2 2 3 3 4" xfId="20493" xr:uid="{00000000-0005-0000-0000-000085280000}"/>
    <cellStyle name="40% - Accent3 2 2 2 2 3 4" xfId="8273" xr:uid="{00000000-0005-0000-0000-000086280000}"/>
    <cellStyle name="40% - Accent3 2 2 2 2 3 4 2" xfId="8274" xr:uid="{00000000-0005-0000-0000-000087280000}"/>
    <cellStyle name="40% - Accent3 2 2 2 2 3 4 3" xfId="21786" xr:uid="{00000000-0005-0000-0000-000088280000}"/>
    <cellStyle name="40% - Accent3 2 2 2 2 3 5" xfId="8275" xr:uid="{00000000-0005-0000-0000-000089280000}"/>
    <cellStyle name="40% - Accent3 2 2 2 2 3 6" xfId="19196" xr:uid="{00000000-0005-0000-0000-00008A280000}"/>
    <cellStyle name="40% - Accent3 2 2 2 2 4" xfId="8276" xr:uid="{00000000-0005-0000-0000-00008B280000}"/>
    <cellStyle name="40% - Accent3 2 2 2 2 4 2" xfId="8277" xr:uid="{00000000-0005-0000-0000-00008C280000}"/>
    <cellStyle name="40% - Accent3 2 2 2 2 4 2 2" xfId="8278" xr:uid="{00000000-0005-0000-0000-00008D280000}"/>
    <cellStyle name="40% - Accent3 2 2 2 2 4 2 2 2" xfId="8279" xr:uid="{00000000-0005-0000-0000-00008E280000}"/>
    <cellStyle name="40% - Accent3 2 2 2 2 4 2 2 3" xfId="23399" xr:uid="{00000000-0005-0000-0000-00008F280000}"/>
    <cellStyle name="40% - Accent3 2 2 2 2 4 2 3" xfId="8280" xr:uid="{00000000-0005-0000-0000-000090280000}"/>
    <cellStyle name="40% - Accent3 2 2 2 2 4 2 4" xfId="20816" xr:uid="{00000000-0005-0000-0000-000091280000}"/>
    <cellStyle name="40% - Accent3 2 2 2 2 4 3" xfId="8281" xr:uid="{00000000-0005-0000-0000-000092280000}"/>
    <cellStyle name="40% - Accent3 2 2 2 2 4 3 2" xfId="8282" xr:uid="{00000000-0005-0000-0000-000093280000}"/>
    <cellStyle name="40% - Accent3 2 2 2 2 4 3 3" xfId="22109" xr:uid="{00000000-0005-0000-0000-000094280000}"/>
    <cellStyle name="40% - Accent3 2 2 2 2 4 4" xfId="8283" xr:uid="{00000000-0005-0000-0000-000095280000}"/>
    <cellStyle name="40% - Accent3 2 2 2 2 4 5" xfId="19522" xr:uid="{00000000-0005-0000-0000-000096280000}"/>
    <cellStyle name="40% - Accent3 2 2 2 2 5" xfId="8284" xr:uid="{00000000-0005-0000-0000-000097280000}"/>
    <cellStyle name="40% - Accent3 2 2 2 2 5 2" xfId="8285" xr:uid="{00000000-0005-0000-0000-000098280000}"/>
    <cellStyle name="40% - Accent3 2 2 2 2 5 2 2" xfId="8286" xr:uid="{00000000-0005-0000-0000-000099280000}"/>
    <cellStyle name="40% - Accent3 2 2 2 2 5 2 3" xfId="22754" xr:uid="{00000000-0005-0000-0000-00009A280000}"/>
    <cellStyle name="40% - Accent3 2 2 2 2 5 3" xfId="8287" xr:uid="{00000000-0005-0000-0000-00009B280000}"/>
    <cellStyle name="40% - Accent3 2 2 2 2 5 4" xfId="20171" xr:uid="{00000000-0005-0000-0000-00009C280000}"/>
    <cellStyle name="40% - Accent3 2 2 2 2 6" xfId="8288" xr:uid="{00000000-0005-0000-0000-00009D280000}"/>
    <cellStyle name="40% - Accent3 2 2 2 2 6 2" xfId="8289" xr:uid="{00000000-0005-0000-0000-00009E280000}"/>
    <cellStyle name="40% - Accent3 2 2 2 2 6 3" xfId="21464" xr:uid="{00000000-0005-0000-0000-00009F280000}"/>
    <cellStyle name="40% - Accent3 2 2 2 2 7" xfId="8290" xr:uid="{00000000-0005-0000-0000-0000A0280000}"/>
    <cellStyle name="40% - Accent3 2 2 2 2 8" xfId="18866" xr:uid="{00000000-0005-0000-0000-0000A1280000}"/>
    <cellStyle name="40% - Accent3 2 2 2 3" xfId="8291" xr:uid="{00000000-0005-0000-0000-0000A2280000}"/>
    <cellStyle name="40% - Accent3 2 2 2 3 2" xfId="8292" xr:uid="{00000000-0005-0000-0000-0000A3280000}"/>
    <cellStyle name="40% - Accent3 2 2 2 3 2 2" xfId="8293" xr:uid="{00000000-0005-0000-0000-0000A4280000}"/>
    <cellStyle name="40% - Accent3 2 2 2 3 2 2 2" xfId="8294" xr:uid="{00000000-0005-0000-0000-0000A5280000}"/>
    <cellStyle name="40% - Accent3 2 2 2 3 2 2 2 2" xfId="8295" xr:uid="{00000000-0005-0000-0000-0000A6280000}"/>
    <cellStyle name="40% - Accent3 2 2 2 3 2 2 2 2 2" xfId="8296" xr:uid="{00000000-0005-0000-0000-0000A7280000}"/>
    <cellStyle name="40% - Accent3 2 2 2 3 2 2 2 2 3" xfId="23802" xr:uid="{00000000-0005-0000-0000-0000A8280000}"/>
    <cellStyle name="40% - Accent3 2 2 2 3 2 2 2 3" xfId="8297" xr:uid="{00000000-0005-0000-0000-0000A9280000}"/>
    <cellStyle name="40% - Accent3 2 2 2 3 2 2 2 4" xfId="21219" xr:uid="{00000000-0005-0000-0000-0000AA280000}"/>
    <cellStyle name="40% - Accent3 2 2 2 3 2 2 3" xfId="8298" xr:uid="{00000000-0005-0000-0000-0000AB280000}"/>
    <cellStyle name="40% - Accent3 2 2 2 3 2 2 3 2" xfId="8299" xr:uid="{00000000-0005-0000-0000-0000AC280000}"/>
    <cellStyle name="40% - Accent3 2 2 2 3 2 2 3 3" xfId="22512" xr:uid="{00000000-0005-0000-0000-0000AD280000}"/>
    <cellStyle name="40% - Accent3 2 2 2 3 2 2 4" xfId="8300" xr:uid="{00000000-0005-0000-0000-0000AE280000}"/>
    <cellStyle name="40% - Accent3 2 2 2 3 2 2 5" xfId="19925" xr:uid="{00000000-0005-0000-0000-0000AF280000}"/>
    <cellStyle name="40% - Accent3 2 2 2 3 2 3" xfId="8301" xr:uid="{00000000-0005-0000-0000-0000B0280000}"/>
    <cellStyle name="40% - Accent3 2 2 2 3 2 3 2" xfId="8302" xr:uid="{00000000-0005-0000-0000-0000B1280000}"/>
    <cellStyle name="40% - Accent3 2 2 2 3 2 3 2 2" xfId="8303" xr:uid="{00000000-0005-0000-0000-0000B2280000}"/>
    <cellStyle name="40% - Accent3 2 2 2 3 2 3 2 3" xfId="23157" xr:uid="{00000000-0005-0000-0000-0000B3280000}"/>
    <cellStyle name="40% - Accent3 2 2 2 3 2 3 3" xfId="8304" xr:uid="{00000000-0005-0000-0000-0000B4280000}"/>
    <cellStyle name="40% - Accent3 2 2 2 3 2 3 4" xfId="20574" xr:uid="{00000000-0005-0000-0000-0000B5280000}"/>
    <cellStyle name="40% - Accent3 2 2 2 3 2 4" xfId="8305" xr:uid="{00000000-0005-0000-0000-0000B6280000}"/>
    <cellStyle name="40% - Accent3 2 2 2 3 2 4 2" xfId="8306" xr:uid="{00000000-0005-0000-0000-0000B7280000}"/>
    <cellStyle name="40% - Accent3 2 2 2 3 2 4 3" xfId="21867" xr:uid="{00000000-0005-0000-0000-0000B8280000}"/>
    <cellStyle name="40% - Accent3 2 2 2 3 2 5" xfId="8307" xr:uid="{00000000-0005-0000-0000-0000B9280000}"/>
    <cellStyle name="40% - Accent3 2 2 2 3 2 6" xfId="19277" xr:uid="{00000000-0005-0000-0000-0000BA280000}"/>
    <cellStyle name="40% - Accent3 2 2 2 3 3" xfId="8308" xr:uid="{00000000-0005-0000-0000-0000BB280000}"/>
    <cellStyle name="40% - Accent3 2 2 2 3 3 2" xfId="8309" xr:uid="{00000000-0005-0000-0000-0000BC280000}"/>
    <cellStyle name="40% - Accent3 2 2 2 3 3 2 2" xfId="8310" xr:uid="{00000000-0005-0000-0000-0000BD280000}"/>
    <cellStyle name="40% - Accent3 2 2 2 3 3 2 2 2" xfId="8311" xr:uid="{00000000-0005-0000-0000-0000BE280000}"/>
    <cellStyle name="40% - Accent3 2 2 2 3 3 2 2 3" xfId="23480" xr:uid="{00000000-0005-0000-0000-0000BF280000}"/>
    <cellStyle name="40% - Accent3 2 2 2 3 3 2 3" xfId="8312" xr:uid="{00000000-0005-0000-0000-0000C0280000}"/>
    <cellStyle name="40% - Accent3 2 2 2 3 3 2 4" xfId="20897" xr:uid="{00000000-0005-0000-0000-0000C1280000}"/>
    <cellStyle name="40% - Accent3 2 2 2 3 3 3" xfId="8313" xr:uid="{00000000-0005-0000-0000-0000C2280000}"/>
    <cellStyle name="40% - Accent3 2 2 2 3 3 3 2" xfId="8314" xr:uid="{00000000-0005-0000-0000-0000C3280000}"/>
    <cellStyle name="40% - Accent3 2 2 2 3 3 3 3" xfId="22190" xr:uid="{00000000-0005-0000-0000-0000C4280000}"/>
    <cellStyle name="40% - Accent3 2 2 2 3 3 4" xfId="8315" xr:uid="{00000000-0005-0000-0000-0000C5280000}"/>
    <cellStyle name="40% - Accent3 2 2 2 3 3 5" xfId="19603" xr:uid="{00000000-0005-0000-0000-0000C6280000}"/>
    <cellStyle name="40% - Accent3 2 2 2 3 4" xfId="8316" xr:uid="{00000000-0005-0000-0000-0000C7280000}"/>
    <cellStyle name="40% - Accent3 2 2 2 3 4 2" xfId="8317" xr:uid="{00000000-0005-0000-0000-0000C8280000}"/>
    <cellStyle name="40% - Accent3 2 2 2 3 4 2 2" xfId="8318" xr:uid="{00000000-0005-0000-0000-0000C9280000}"/>
    <cellStyle name="40% - Accent3 2 2 2 3 4 2 3" xfId="22835" xr:uid="{00000000-0005-0000-0000-0000CA280000}"/>
    <cellStyle name="40% - Accent3 2 2 2 3 4 3" xfId="8319" xr:uid="{00000000-0005-0000-0000-0000CB280000}"/>
    <cellStyle name="40% - Accent3 2 2 2 3 4 4" xfId="20252" xr:uid="{00000000-0005-0000-0000-0000CC280000}"/>
    <cellStyle name="40% - Accent3 2 2 2 3 5" xfId="8320" xr:uid="{00000000-0005-0000-0000-0000CD280000}"/>
    <cellStyle name="40% - Accent3 2 2 2 3 5 2" xfId="8321" xr:uid="{00000000-0005-0000-0000-0000CE280000}"/>
    <cellStyle name="40% - Accent3 2 2 2 3 5 3" xfId="21545" xr:uid="{00000000-0005-0000-0000-0000CF280000}"/>
    <cellStyle name="40% - Accent3 2 2 2 3 6" xfId="8322" xr:uid="{00000000-0005-0000-0000-0000D0280000}"/>
    <cellStyle name="40% - Accent3 2 2 2 3 7" xfId="18951" xr:uid="{00000000-0005-0000-0000-0000D1280000}"/>
    <cellStyle name="40% - Accent3 2 2 2 4" xfId="8323" xr:uid="{00000000-0005-0000-0000-0000D2280000}"/>
    <cellStyle name="40% - Accent3 2 2 2 4 2" xfId="8324" xr:uid="{00000000-0005-0000-0000-0000D3280000}"/>
    <cellStyle name="40% - Accent3 2 2 2 4 2 2" xfId="8325" xr:uid="{00000000-0005-0000-0000-0000D4280000}"/>
    <cellStyle name="40% - Accent3 2 2 2 4 2 2 2" xfId="8326" xr:uid="{00000000-0005-0000-0000-0000D5280000}"/>
    <cellStyle name="40% - Accent3 2 2 2 4 2 2 2 2" xfId="8327" xr:uid="{00000000-0005-0000-0000-0000D6280000}"/>
    <cellStyle name="40% - Accent3 2 2 2 4 2 2 2 3" xfId="23641" xr:uid="{00000000-0005-0000-0000-0000D7280000}"/>
    <cellStyle name="40% - Accent3 2 2 2 4 2 2 3" xfId="8328" xr:uid="{00000000-0005-0000-0000-0000D8280000}"/>
    <cellStyle name="40% - Accent3 2 2 2 4 2 2 4" xfId="21058" xr:uid="{00000000-0005-0000-0000-0000D9280000}"/>
    <cellStyle name="40% - Accent3 2 2 2 4 2 3" xfId="8329" xr:uid="{00000000-0005-0000-0000-0000DA280000}"/>
    <cellStyle name="40% - Accent3 2 2 2 4 2 3 2" xfId="8330" xr:uid="{00000000-0005-0000-0000-0000DB280000}"/>
    <cellStyle name="40% - Accent3 2 2 2 4 2 3 3" xfId="22351" xr:uid="{00000000-0005-0000-0000-0000DC280000}"/>
    <cellStyle name="40% - Accent3 2 2 2 4 2 4" xfId="8331" xr:uid="{00000000-0005-0000-0000-0000DD280000}"/>
    <cellStyle name="40% - Accent3 2 2 2 4 2 5" xfId="19764" xr:uid="{00000000-0005-0000-0000-0000DE280000}"/>
    <cellStyle name="40% - Accent3 2 2 2 4 3" xfId="8332" xr:uid="{00000000-0005-0000-0000-0000DF280000}"/>
    <cellStyle name="40% - Accent3 2 2 2 4 3 2" xfId="8333" xr:uid="{00000000-0005-0000-0000-0000E0280000}"/>
    <cellStyle name="40% - Accent3 2 2 2 4 3 2 2" xfId="8334" xr:uid="{00000000-0005-0000-0000-0000E1280000}"/>
    <cellStyle name="40% - Accent3 2 2 2 4 3 2 3" xfId="22996" xr:uid="{00000000-0005-0000-0000-0000E2280000}"/>
    <cellStyle name="40% - Accent3 2 2 2 4 3 3" xfId="8335" xr:uid="{00000000-0005-0000-0000-0000E3280000}"/>
    <cellStyle name="40% - Accent3 2 2 2 4 3 4" xfId="20413" xr:uid="{00000000-0005-0000-0000-0000E4280000}"/>
    <cellStyle name="40% - Accent3 2 2 2 4 4" xfId="8336" xr:uid="{00000000-0005-0000-0000-0000E5280000}"/>
    <cellStyle name="40% - Accent3 2 2 2 4 4 2" xfId="8337" xr:uid="{00000000-0005-0000-0000-0000E6280000}"/>
    <cellStyle name="40% - Accent3 2 2 2 4 4 3" xfId="21706" xr:uid="{00000000-0005-0000-0000-0000E7280000}"/>
    <cellStyle name="40% - Accent3 2 2 2 4 5" xfId="8338" xr:uid="{00000000-0005-0000-0000-0000E8280000}"/>
    <cellStyle name="40% - Accent3 2 2 2 4 6" xfId="19116" xr:uid="{00000000-0005-0000-0000-0000E9280000}"/>
    <cellStyle name="40% - Accent3 2 2 2 5" xfId="8339" xr:uid="{00000000-0005-0000-0000-0000EA280000}"/>
    <cellStyle name="40% - Accent3 2 2 2 5 2" xfId="8340" xr:uid="{00000000-0005-0000-0000-0000EB280000}"/>
    <cellStyle name="40% - Accent3 2 2 2 5 2 2" xfId="8341" xr:uid="{00000000-0005-0000-0000-0000EC280000}"/>
    <cellStyle name="40% - Accent3 2 2 2 5 2 2 2" xfId="8342" xr:uid="{00000000-0005-0000-0000-0000ED280000}"/>
    <cellStyle name="40% - Accent3 2 2 2 5 2 2 3" xfId="23318" xr:uid="{00000000-0005-0000-0000-0000EE280000}"/>
    <cellStyle name="40% - Accent3 2 2 2 5 2 3" xfId="8343" xr:uid="{00000000-0005-0000-0000-0000EF280000}"/>
    <cellStyle name="40% - Accent3 2 2 2 5 2 4" xfId="20735" xr:uid="{00000000-0005-0000-0000-0000F0280000}"/>
    <cellStyle name="40% - Accent3 2 2 2 5 3" xfId="8344" xr:uid="{00000000-0005-0000-0000-0000F1280000}"/>
    <cellStyle name="40% - Accent3 2 2 2 5 3 2" xfId="8345" xr:uid="{00000000-0005-0000-0000-0000F2280000}"/>
    <cellStyle name="40% - Accent3 2 2 2 5 3 3" xfId="22028" xr:uid="{00000000-0005-0000-0000-0000F3280000}"/>
    <cellStyle name="40% - Accent3 2 2 2 5 4" xfId="8346" xr:uid="{00000000-0005-0000-0000-0000F4280000}"/>
    <cellStyle name="40% - Accent3 2 2 2 5 5" xfId="19442" xr:uid="{00000000-0005-0000-0000-0000F5280000}"/>
    <cellStyle name="40% - Accent3 2 2 2 6" xfId="8347" xr:uid="{00000000-0005-0000-0000-0000F6280000}"/>
    <cellStyle name="40% - Accent3 2 2 2 6 2" xfId="8348" xr:uid="{00000000-0005-0000-0000-0000F7280000}"/>
    <cellStyle name="40% - Accent3 2 2 2 6 2 2" xfId="8349" xr:uid="{00000000-0005-0000-0000-0000F8280000}"/>
    <cellStyle name="40% - Accent3 2 2 2 6 2 3" xfId="22673" xr:uid="{00000000-0005-0000-0000-0000F9280000}"/>
    <cellStyle name="40% - Accent3 2 2 2 6 3" xfId="8350" xr:uid="{00000000-0005-0000-0000-0000FA280000}"/>
    <cellStyle name="40% - Accent3 2 2 2 6 4" xfId="20090" xr:uid="{00000000-0005-0000-0000-0000FB280000}"/>
    <cellStyle name="40% - Accent3 2 2 2 7" xfId="8351" xr:uid="{00000000-0005-0000-0000-0000FC280000}"/>
    <cellStyle name="40% - Accent3 2 2 2 7 2" xfId="8352" xr:uid="{00000000-0005-0000-0000-0000FD280000}"/>
    <cellStyle name="40% - Accent3 2 2 2 7 3" xfId="21383" xr:uid="{00000000-0005-0000-0000-0000FE280000}"/>
    <cellStyle name="40% - Accent3 2 2 2 8" xfId="8353" xr:uid="{00000000-0005-0000-0000-0000FF280000}"/>
    <cellStyle name="40% - Accent3 2 2 2 9" xfId="18769" xr:uid="{00000000-0005-0000-0000-000000290000}"/>
    <cellStyle name="40% - Accent3 2 2 3" xfId="8354" xr:uid="{00000000-0005-0000-0000-000001290000}"/>
    <cellStyle name="40% - Accent3 2 2 3 2" xfId="8355" xr:uid="{00000000-0005-0000-0000-000002290000}"/>
    <cellStyle name="40% - Accent3 2 2 3 2 2" xfId="8356" xr:uid="{00000000-0005-0000-0000-000003290000}"/>
    <cellStyle name="40% - Accent3 2 2 3 2 2 2" xfId="8357" xr:uid="{00000000-0005-0000-0000-000004290000}"/>
    <cellStyle name="40% - Accent3 2 2 3 2 2 2 2" xfId="8358" xr:uid="{00000000-0005-0000-0000-000005290000}"/>
    <cellStyle name="40% - Accent3 2 2 3 2 2 2 2 2" xfId="8359" xr:uid="{00000000-0005-0000-0000-000006290000}"/>
    <cellStyle name="40% - Accent3 2 2 3 2 2 2 2 2 2" xfId="8360" xr:uid="{00000000-0005-0000-0000-000007290000}"/>
    <cellStyle name="40% - Accent3 2 2 3 2 2 2 2 2 3" xfId="23842" xr:uid="{00000000-0005-0000-0000-000008290000}"/>
    <cellStyle name="40% - Accent3 2 2 3 2 2 2 2 3" xfId="8361" xr:uid="{00000000-0005-0000-0000-000009290000}"/>
    <cellStyle name="40% - Accent3 2 2 3 2 2 2 2 4" xfId="21259" xr:uid="{00000000-0005-0000-0000-00000A290000}"/>
    <cellStyle name="40% - Accent3 2 2 3 2 2 2 3" xfId="8362" xr:uid="{00000000-0005-0000-0000-00000B290000}"/>
    <cellStyle name="40% - Accent3 2 2 3 2 2 2 3 2" xfId="8363" xr:uid="{00000000-0005-0000-0000-00000C290000}"/>
    <cellStyle name="40% - Accent3 2 2 3 2 2 2 3 3" xfId="22552" xr:uid="{00000000-0005-0000-0000-00000D290000}"/>
    <cellStyle name="40% - Accent3 2 2 3 2 2 2 4" xfId="8364" xr:uid="{00000000-0005-0000-0000-00000E290000}"/>
    <cellStyle name="40% - Accent3 2 2 3 2 2 2 5" xfId="19965" xr:uid="{00000000-0005-0000-0000-00000F290000}"/>
    <cellStyle name="40% - Accent3 2 2 3 2 2 3" xfId="8365" xr:uid="{00000000-0005-0000-0000-000010290000}"/>
    <cellStyle name="40% - Accent3 2 2 3 2 2 3 2" xfId="8366" xr:uid="{00000000-0005-0000-0000-000011290000}"/>
    <cellStyle name="40% - Accent3 2 2 3 2 2 3 2 2" xfId="8367" xr:uid="{00000000-0005-0000-0000-000012290000}"/>
    <cellStyle name="40% - Accent3 2 2 3 2 2 3 2 3" xfId="23197" xr:uid="{00000000-0005-0000-0000-000013290000}"/>
    <cellStyle name="40% - Accent3 2 2 3 2 2 3 3" xfId="8368" xr:uid="{00000000-0005-0000-0000-000014290000}"/>
    <cellStyle name="40% - Accent3 2 2 3 2 2 3 4" xfId="20614" xr:uid="{00000000-0005-0000-0000-000015290000}"/>
    <cellStyle name="40% - Accent3 2 2 3 2 2 4" xfId="8369" xr:uid="{00000000-0005-0000-0000-000016290000}"/>
    <cellStyle name="40% - Accent3 2 2 3 2 2 4 2" xfId="8370" xr:uid="{00000000-0005-0000-0000-000017290000}"/>
    <cellStyle name="40% - Accent3 2 2 3 2 2 4 3" xfId="21907" xr:uid="{00000000-0005-0000-0000-000018290000}"/>
    <cellStyle name="40% - Accent3 2 2 3 2 2 5" xfId="8371" xr:uid="{00000000-0005-0000-0000-000019290000}"/>
    <cellStyle name="40% - Accent3 2 2 3 2 2 6" xfId="19317" xr:uid="{00000000-0005-0000-0000-00001A290000}"/>
    <cellStyle name="40% - Accent3 2 2 3 2 3" xfId="8372" xr:uid="{00000000-0005-0000-0000-00001B290000}"/>
    <cellStyle name="40% - Accent3 2 2 3 2 3 2" xfId="8373" xr:uid="{00000000-0005-0000-0000-00001C290000}"/>
    <cellStyle name="40% - Accent3 2 2 3 2 3 2 2" xfId="8374" xr:uid="{00000000-0005-0000-0000-00001D290000}"/>
    <cellStyle name="40% - Accent3 2 2 3 2 3 2 2 2" xfId="8375" xr:uid="{00000000-0005-0000-0000-00001E290000}"/>
    <cellStyle name="40% - Accent3 2 2 3 2 3 2 2 3" xfId="23520" xr:uid="{00000000-0005-0000-0000-00001F290000}"/>
    <cellStyle name="40% - Accent3 2 2 3 2 3 2 3" xfId="8376" xr:uid="{00000000-0005-0000-0000-000020290000}"/>
    <cellStyle name="40% - Accent3 2 2 3 2 3 2 4" xfId="20937" xr:uid="{00000000-0005-0000-0000-000021290000}"/>
    <cellStyle name="40% - Accent3 2 2 3 2 3 3" xfId="8377" xr:uid="{00000000-0005-0000-0000-000022290000}"/>
    <cellStyle name="40% - Accent3 2 2 3 2 3 3 2" xfId="8378" xr:uid="{00000000-0005-0000-0000-000023290000}"/>
    <cellStyle name="40% - Accent3 2 2 3 2 3 3 3" xfId="22230" xr:uid="{00000000-0005-0000-0000-000024290000}"/>
    <cellStyle name="40% - Accent3 2 2 3 2 3 4" xfId="8379" xr:uid="{00000000-0005-0000-0000-000025290000}"/>
    <cellStyle name="40% - Accent3 2 2 3 2 3 5" xfId="19643" xr:uid="{00000000-0005-0000-0000-000026290000}"/>
    <cellStyle name="40% - Accent3 2 2 3 2 4" xfId="8380" xr:uid="{00000000-0005-0000-0000-000027290000}"/>
    <cellStyle name="40% - Accent3 2 2 3 2 4 2" xfId="8381" xr:uid="{00000000-0005-0000-0000-000028290000}"/>
    <cellStyle name="40% - Accent3 2 2 3 2 4 2 2" xfId="8382" xr:uid="{00000000-0005-0000-0000-000029290000}"/>
    <cellStyle name="40% - Accent3 2 2 3 2 4 2 3" xfId="22875" xr:uid="{00000000-0005-0000-0000-00002A290000}"/>
    <cellStyle name="40% - Accent3 2 2 3 2 4 3" xfId="8383" xr:uid="{00000000-0005-0000-0000-00002B290000}"/>
    <cellStyle name="40% - Accent3 2 2 3 2 4 4" xfId="20292" xr:uid="{00000000-0005-0000-0000-00002C290000}"/>
    <cellStyle name="40% - Accent3 2 2 3 2 5" xfId="8384" xr:uid="{00000000-0005-0000-0000-00002D290000}"/>
    <cellStyle name="40% - Accent3 2 2 3 2 5 2" xfId="8385" xr:uid="{00000000-0005-0000-0000-00002E290000}"/>
    <cellStyle name="40% - Accent3 2 2 3 2 5 3" xfId="21585" xr:uid="{00000000-0005-0000-0000-00002F290000}"/>
    <cellStyle name="40% - Accent3 2 2 3 2 6" xfId="8386" xr:uid="{00000000-0005-0000-0000-000030290000}"/>
    <cellStyle name="40% - Accent3 2 2 3 2 7" xfId="18991" xr:uid="{00000000-0005-0000-0000-000031290000}"/>
    <cellStyle name="40% - Accent3 2 2 3 3" xfId="8387" xr:uid="{00000000-0005-0000-0000-000032290000}"/>
    <cellStyle name="40% - Accent3 2 2 3 3 2" xfId="8388" xr:uid="{00000000-0005-0000-0000-000033290000}"/>
    <cellStyle name="40% - Accent3 2 2 3 3 2 2" xfId="8389" xr:uid="{00000000-0005-0000-0000-000034290000}"/>
    <cellStyle name="40% - Accent3 2 2 3 3 2 2 2" xfId="8390" xr:uid="{00000000-0005-0000-0000-000035290000}"/>
    <cellStyle name="40% - Accent3 2 2 3 3 2 2 2 2" xfId="8391" xr:uid="{00000000-0005-0000-0000-000036290000}"/>
    <cellStyle name="40% - Accent3 2 2 3 3 2 2 2 3" xfId="23681" xr:uid="{00000000-0005-0000-0000-000037290000}"/>
    <cellStyle name="40% - Accent3 2 2 3 3 2 2 3" xfId="8392" xr:uid="{00000000-0005-0000-0000-000038290000}"/>
    <cellStyle name="40% - Accent3 2 2 3 3 2 2 4" xfId="21098" xr:uid="{00000000-0005-0000-0000-000039290000}"/>
    <cellStyle name="40% - Accent3 2 2 3 3 2 3" xfId="8393" xr:uid="{00000000-0005-0000-0000-00003A290000}"/>
    <cellStyle name="40% - Accent3 2 2 3 3 2 3 2" xfId="8394" xr:uid="{00000000-0005-0000-0000-00003B290000}"/>
    <cellStyle name="40% - Accent3 2 2 3 3 2 3 3" xfId="22391" xr:uid="{00000000-0005-0000-0000-00003C290000}"/>
    <cellStyle name="40% - Accent3 2 2 3 3 2 4" xfId="8395" xr:uid="{00000000-0005-0000-0000-00003D290000}"/>
    <cellStyle name="40% - Accent3 2 2 3 3 2 5" xfId="19804" xr:uid="{00000000-0005-0000-0000-00003E290000}"/>
    <cellStyle name="40% - Accent3 2 2 3 3 3" xfId="8396" xr:uid="{00000000-0005-0000-0000-00003F290000}"/>
    <cellStyle name="40% - Accent3 2 2 3 3 3 2" xfId="8397" xr:uid="{00000000-0005-0000-0000-000040290000}"/>
    <cellStyle name="40% - Accent3 2 2 3 3 3 2 2" xfId="8398" xr:uid="{00000000-0005-0000-0000-000041290000}"/>
    <cellStyle name="40% - Accent3 2 2 3 3 3 2 3" xfId="23036" xr:uid="{00000000-0005-0000-0000-000042290000}"/>
    <cellStyle name="40% - Accent3 2 2 3 3 3 3" xfId="8399" xr:uid="{00000000-0005-0000-0000-000043290000}"/>
    <cellStyle name="40% - Accent3 2 2 3 3 3 4" xfId="20453" xr:uid="{00000000-0005-0000-0000-000044290000}"/>
    <cellStyle name="40% - Accent3 2 2 3 3 4" xfId="8400" xr:uid="{00000000-0005-0000-0000-000045290000}"/>
    <cellStyle name="40% - Accent3 2 2 3 3 4 2" xfId="8401" xr:uid="{00000000-0005-0000-0000-000046290000}"/>
    <cellStyle name="40% - Accent3 2 2 3 3 4 3" xfId="21746" xr:uid="{00000000-0005-0000-0000-000047290000}"/>
    <cellStyle name="40% - Accent3 2 2 3 3 5" xfId="8402" xr:uid="{00000000-0005-0000-0000-000048290000}"/>
    <cellStyle name="40% - Accent3 2 2 3 3 6" xfId="19156" xr:uid="{00000000-0005-0000-0000-000049290000}"/>
    <cellStyle name="40% - Accent3 2 2 3 4" xfId="8403" xr:uid="{00000000-0005-0000-0000-00004A290000}"/>
    <cellStyle name="40% - Accent3 2 2 3 4 2" xfId="8404" xr:uid="{00000000-0005-0000-0000-00004B290000}"/>
    <cellStyle name="40% - Accent3 2 2 3 4 2 2" xfId="8405" xr:uid="{00000000-0005-0000-0000-00004C290000}"/>
    <cellStyle name="40% - Accent3 2 2 3 4 2 2 2" xfId="8406" xr:uid="{00000000-0005-0000-0000-00004D290000}"/>
    <cellStyle name="40% - Accent3 2 2 3 4 2 2 3" xfId="23359" xr:uid="{00000000-0005-0000-0000-00004E290000}"/>
    <cellStyle name="40% - Accent3 2 2 3 4 2 3" xfId="8407" xr:uid="{00000000-0005-0000-0000-00004F290000}"/>
    <cellStyle name="40% - Accent3 2 2 3 4 2 4" xfId="20776" xr:uid="{00000000-0005-0000-0000-000050290000}"/>
    <cellStyle name="40% - Accent3 2 2 3 4 3" xfId="8408" xr:uid="{00000000-0005-0000-0000-000051290000}"/>
    <cellStyle name="40% - Accent3 2 2 3 4 3 2" xfId="8409" xr:uid="{00000000-0005-0000-0000-000052290000}"/>
    <cellStyle name="40% - Accent3 2 2 3 4 3 3" xfId="22069" xr:uid="{00000000-0005-0000-0000-000053290000}"/>
    <cellStyle name="40% - Accent3 2 2 3 4 4" xfId="8410" xr:uid="{00000000-0005-0000-0000-000054290000}"/>
    <cellStyle name="40% - Accent3 2 2 3 4 5" xfId="19482" xr:uid="{00000000-0005-0000-0000-000055290000}"/>
    <cellStyle name="40% - Accent3 2 2 3 5" xfId="8411" xr:uid="{00000000-0005-0000-0000-000056290000}"/>
    <cellStyle name="40% - Accent3 2 2 3 5 2" xfId="8412" xr:uid="{00000000-0005-0000-0000-000057290000}"/>
    <cellStyle name="40% - Accent3 2 2 3 5 2 2" xfId="8413" xr:uid="{00000000-0005-0000-0000-000058290000}"/>
    <cellStyle name="40% - Accent3 2 2 3 5 2 3" xfId="22714" xr:uid="{00000000-0005-0000-0000-000059290000}"/>
    <cellStyle name="40% - Accent3 2 2 3 5 3" xfId="8414" xr:uid="{00000000-0005-0000-0000-00005A290000}"/>
    <cellStyle name="40% - Accent3 2 2 3 5 4" xfId="20131" xr:uid="{00000000-0005-0000-0000-00005B290000}"/>
    <cellStyle name="40% - Accent3 2 2 3 6" xfId="8415" xr:uid="{00000000-0005-0000-0000-00005C290000}"/>
    <cellStyle name="40% - Accent3 2 2 3 6 2" xfId="8416" xr:uid="{00000000-0005-0000-0000-00005D290000}"/>
    <cellStyle name="40% - Accent3 2 2 3 6 3" xfId="21424" xr:uid="{00000000-0005-0000-0000-00005E290000}"/>
    <cellStyle name="40% - Accent3 2 2 3 7" xfId="8417" xr:uid="{00000000-0005-0000-0000-00005F290000}"/>
    <cellStyle name="40% - Accent3 2 2 3 8" xfId="18825" xr:uid="{00000000-0005-0000-0000-000060290000}"/>
    <cellStyle name="40% - Accent3 2 2 4" xfId="8418" xr:uid="{00000000-0005-0000-0000-000061290000}"/>
    <cellStyle name="40% - Accent3 2 2 4 2" xfId="8419" xr:uid="{00000000-0005-0000-0000-000062290000}"/>
    <cellStyle name="40% - Accent3 2 2 4 2 2" xfId="8420" xr:uid="{00000000-0005-0000-0000-000063290000}"/>
    <cellStyle name="40% - Accent3 2 2 4 2 2 2" xfId="8421" xr:uid="{00000000-0005-0000-0000-000064290000}"/>
    <cellStyle name="40% - Accent3 2 2 4 2 2 2 2" xfId="8422" xr:uid="{00000000-0005-0000-0000-000065290000}"/>
    <cellStyle name="40% - Accent3 2 2 4 2 2 2 2 2" xfId="8423" xr:uid="{00000000-0005-0000-0000-000066290000}"/>
    <cellStyle name="40% - Accent3 2 2 4 2 2 2 2 3" xfId="23762" xr:uid="{00000000-0005-0000-0000-000067290000}"/>
    <cellStyle name="40% - Accent3 2 2 4 2 2 2 3" xfId="8424" xr:uid="{00000000-0005-0000-0000-000068290000}"/>
    <cellStyle name="40% - Accent3 2 2 4 2 2 2 4" xfId="21179" xr:uid="{00000000-0005-0000-0000-000069290000}"/>
    <cellStyle name="40% - Accent3 2 2 4 2 2 3" xfId="8425" xr:uid="{00000000-0005-0000-0000-00006A290000}"/>
    <cellStyle name="40% - Accent3 2 2 4 2 2 3 2" xfId="8426" xr:uid="{00000000-0005-0000-0000-00006B290000}"/>
    <cellStyle name="40% - Accent3 2 2 4 2 2 3 3" xfId="22472" xr:uid="{00000000-0005-0000-0000-00006C290000}"/>
    <cellStyle name="40% - Accent3 2 2 4 2 2 4" xfId="8427" xr:uid="{00000000-0005-0000-0000-00006D290000}"/>
    <cellStyle name="40% - Accent3 2 2 4 2 2 5" xfId="19885" xr:uid="{00000000-0005-0000-0000-00006E290000}"/>
    <cellStyle name="40% - Accent3 2 2 4 2 3" xfId="8428" xr:uid="{00000000-0005-0000-0000-00006F290000}"/>
    <cellStyle name="40% - Accent3 2 2 4 2 3 2" xfId="8429" xr:uid="{00000000-0005-0000-0000-000070290000}"/>
    <cellStyle name="40% - Accent3 2 2 4 2 3 2 2" xfId="8430" xr:uid="{00000000-0005-0000-0000-000071290000}"/>
    <cellStyle name="40% - Accent3 2 2 4 2 3 2 3" xfId="23117" xr:uid="{00000000-0005-0000-0000-000072290000}"/>
    <cellStyle name="40% - Accent3 2 2 4 2 3 3" xfId="8431" xr:uid="{00000000-0005-0000-0000-000073290000}"/>
    <cellStyle name="40% - Accent3 2 2 4 2 3 4" xfId="20534" xr:uid="{00000000-0005-0000-0000-000074290000}"/>
    <cellStyle name="40% - Accent3 2 2 4 2 4" xfId="8432" xr:uid="{00000000-0005-0000-0000-000075290000}"/>
    <cellStyle name="40% - Accent3 2 2 4 2 4 2" xfId="8433" xr:uid="{00000000-0005-0000-0000-000076290000}"/>
    <cellStyle name="40% - Accent3 2 2 4 2 4 3" xfId="21827" xr:uid="{00000000-0005-0000-0000-000077290000}"/>
    <cellStyle name="40% - Accent3 2 2 4 2 5" xfId="8434" xr:uid="{00000000-0005-0000-0000-000078290000}"/>
    <cellStyle name="40% - Accent3 2 2 4 2 6" xfId="19237" xr:uid="{00000000-0005-0000-0000-000079290000}"/>
    <cellStyle name="40% - Accent3 2 2 4 3" xfId="8435" xr:uid="{00000000-0005-0000-0000-00007A290000}"/>
    <cellStyle name="40% - Accent3 2 2 4 3 2" xfId="8436" xr:uid="{00000000-0005-0000-0000-00007B290000}"/>
    <cellStyle name="40% - Accent3 2 2 4 3 2 2" xfId="8437" xr:uid="{00000000-0005-0000-0000-00007C290000}"/>
    <cellStyle name="40% - Accent3 2 2 4 3 2 2 2" xfId="8438" xr:uid="{00000000-0005-0000-0000-00007D290000}"/>
    <cellStyle name="40% - Accent3 2 2 4 3 2 2 3" xfId="23440" xr:uid="{00000000-0005-0000-0000-00007E290000}"/>
    <cellStyle name="40% - Accent3 2 2 4 3 2 3" xfId="8439" xr:uid="{00000000-0005-0000-0000-00007F290000}"/>
    <cellStyle name="40% - Accent3 2 2 4 3 2 4" xfId="20857" xr:uid="{00000000-0005-0000-0000-000080290000}"/>
    <cellStyle name="40% - Accent3 2 2 4 3 3" xfId="8440" xr:uid="{00000000-0005-0000-0000-000081290000}"/>
    <cellStyle name="40% - Accent3 2 2 4 3 3 2" xfId="8441" xr:uid="{00000000-0005-0000-0000-000082290000}"/>
    <cellStyle name="40% - Accent3 2 2 4 3 3 3" xfId="22150" xr:uid="{00000000-0005-0000-0000-000083290000}"/>
    <cellStyle name="40% - Accent3 2 2 4 3 4" xfId="8442" xr:uid="{00000000-0005-0000-0000-000084290000}"/>
    <cellStyle name="40% - Accent3 2 2 4 3 5" xfId="19563" xr:uid="{00000000-0005-0000-0000-000085290000}"/>
    <cellStyle name="40% - Accent3 2 2 4 4" xfId="8443" xr:uid="{00000000-0005-0000-0000-000086290000}"/>
    <cellStyle name="40% - Accent3 2 2 4 4 2" xfId="8444" xr:uid="{00000000-0005-0000-0000-000087290000}"/>
    <cellStyle name="40% - Accent3 2 2 4 4 2 2" xfId="8445" xr:uid="{00000000-0005-0000-0000-000088290000}"/>
    <cellStyle name="40% - Accent3 2 2 4 4 2 3" xfId="22795" xr:uid="{00000000-0005-0000-0000-000089290000}"/>
    <cellStyle name="40% - Accent3 2 2 4 4 3" xfId="8446" xr:uid="{00000000-0005-0000-0000-00008A290000}"/>
    <cellStyle name="40% - Accent3 2 2 4 4 4" xfId="20212" xr:uid="{00000000-0005-0000-0000-00008B290000}"/>
    <cellStyle name="40% - Accent3 2 2 4 5" xfId="8447" xr:uid="{00000000-0005-0000-0000-00008C290000}"/>
    <cellStyle name="40% - Accent3 2 2 4 5 2" xfId="8448" xr:uid="{00000000-0005-0000-0000-00008D290000}"/>
    <cellStyle name="40% - Accent3 2 2 4 5 3" xfId="21505" xr:uid="{00000000-0005-0000-0000-00008E290000}"/>
    <cellStyle name="40% - Accent3 2 2 4 6" xfId="8449" xr:uid="{00000000-0005-0000-0000-00008F290000}"/>
    <cellStyle name="40% - Accent3 2 2 4 7" xfId="18911" xr:uid="{00000000-0005-0000-0000-000090290000}"/>
    <cellStyle name="40% - Accent3 2 2 5" xfId="8450" xr:uid="{00000000-0005-0000-0000-000091290000}"/>
    <cellStyle name="40% - Accent3 2 2 5 2" xfId="8451" xr:uid="{00000000-0005-0000-0000-000092290000}"/>
    <cellStyle name="40% - Accent3 2 2 5 2 2" xfId="8452" xr:uid="{00000000-0005-0000-0000-000093290000}"/>
    <cellStyle name="40% - Accent3 2 2 5 2 2 2" xfId="8453" xr:uid="{00000000-0005-0000-0000-000094290000}"/>
    <cellStyle name="40% - Accent3 2 2 5 2 2 2 2" xfId="8454" xr:uid="{00000000-0005-0000-0000-000095290000}"/>
    <cellStyle name="40% - Accent3 2 2 5 2 2 2 3" xfId="23601" xr:uid="{00000000-0005-0000-0000-000096290000}"/>
    <cellStyle name="40% - Accent3 2 2 5 2 2 3" xfId="8455" xr:uid="{00000000-0005-0000-0000-000097290000}"/>
    <cellStyle name="40% - Accent3 2 2 5 2 2 4" xfId="21018" xr:uid="{00000000-0005-0000-0000-000098290000}"/>
    <cellStyle name="40% - Accent3 2 2 5 2 3" xfId="8456" xr:uid="{00000000-0005-0000-0000-000099290000}"/>
    <cellStyle name="40% - Accent3 2 2 5 2 3 2" xfId="8457" xr:uid="{00000000-0005-0000-0000-00009A290000}"/>
    <cellStyle name="40% - Accent3 2 2 5 2 3 3" xfId="22311" xr:uid="{00000000-0005-0000-0000-00009B290000}"/>
    <cellStyle name="40% - Accent3 2 2 5 2 4" xfId="8458" xr:uid="{00000000-0005-0000-0000-00009C290000}"/>
    <cellStyle name="40% - Accent3 2 2 5 2 5" xfId="19724" xr:uid="{00000000-0005-0000-0000-00009D290000}"/>
    <cellStyle name="40% - Accent3 2 2 5 3" xfId="8459" xr:uid="{00000000-0005-0000-0000-00009E290000}"/>
    <cellStyle name="40% - Accent3 2 2 5 3 2" xfId="8460" xr:uid="{00000000-0005-0000-0000-00009F290000}"/>
    <cellStyle name="40% - Accent3 2 2 5 3 2 2" xfId="8461" xr:uid="{00000000-0005-0000-0000-0000A0290000}"/>
    <cellStyle name="40% - Accent3 2 2 5 3 2 3" xfId="22956" xr:uid="{00000000-0005-0000-0000-0000A1290000}"/>
    <cellStyle name="40% - Accent3 2 2 5 3 3" xfId="8462" xr:uid="{00000000-0005-0000-0000-0000A2290000}"/>
    <cellStyle name="40% - Accent3 2 2 5 3 4" xfId="20373" xr:uid="{00000000-0005-0000-0000-0000A3290000}"/>
    <cellStyle name="40% - Accent3 2 2 5 4" xfId="8463" xr:uid="{00000000-0005-0000-0000-0000A4290000}"/>
    <cellStyle name="40% - Accent3 2 2 5 4 2" xfId="8464" xr:uid="{00000000-0005-0000-0000-0000A5290000}"/>
    <cellStyle name="40% - Accent3 2 2 5 4 3" xfId="21666" xr:uid="{00000000-0005-0000-0000-0000A6290000}"/>
    <cellStyle name="40% - Accent3 2 2 5 5" xfId="8465" xr:uid="{00000000-0005-0000-0000-0000A7290000}"/>
    <cellStyle name="40% - Accent3 2 2 5 6" xfId="19076" xr:uid="{00000000-0005-0000-0000-0000A8290000}"/>
    <cellStyle name="40% - Accent3 2 2 6" xfId="8466" xr:uid="{00000000-0005-0000-0000-0000A9290000}"/>
    <cellStyle name="40% - Accent3 2 2 6 2" xfId="8467" xr:uid="{00000000-0005-0000-0000-0000AA290000}"/>
    <cellStyle name="40% - Accent3 2 2 6 2 2" xfId="8468" xr:uid="{00000000-0005-0000-0000-0000AB290000}"/>
    <cellStyle name="40% - Accent3 2 2 6 2 2 2" xfId="8469" xr:uid="{00000000-0005-0000-0000-0000AC290000}"/>
    <cellStyle name="40% - Accent3 2 2 6 2 2 3" xfId="23278" xr:uid="{00000000-0005-0000-0000-0000AD290000}"/>
    <cellStyle name="40% - Accent3 2 2 6 2 3" xfId="8470" xr:uid="{00000000-0005-0000-0000-0000AE290000}"/>
    <cellStyle name="40% - Accent3 2 2 6 2 4" xfId="20695" xr:uid="{00000000-0005-0000-0000-0000AF290000}"/>
    <cellStyle name="40% - Accent3 2 2 6 3" xfId="8471" xr:uid="{00000000-0005-0000-0000-0000B0290000}"/>
    <cellStyle name="40% - Accent3 2 2 6 3 2" xfId="8472" xr:uid="{00000000-0005-0000-0000-0000B1290000}"/>
    <cellStyle name="40% - Accent3 2 2 6 3 3" xfId="21988" xr:uid="{00000000-0005-0000-0000-0000B2290000}"/>
    <cellStyle name="40% - Accent3 2 2 6 4" xfId="8473" xr:uid="{00000000-0005-0000-0000-0000B3290000}"/>
    <cellStyle name="40% - Accent3 2 2 6 5" xfId="19402" xr:uid="{00000000-0005-0000-0000-0000B4290000}"/>
    <cellStyle name="40% - Accent3 2 2 7" xfId="8474" xr:uid="{00000000-0005-0000-0000-0000B5290000}"/>
    <cellStyle name="40% - Accent3 2 2 7 2" xfId="8475" xr:uid="{00000000-0005-0000-0000-0000B6290000}"/>
    <cellStyle name="40% - Accent3 2 2 7 2 2" xfId="8476" xr:uid="{00000000-0005-0000-0000-0000B7290000}"/>
    <cellStyle name="40% - Accent3 2 2 7 2 3" xfId="22633" xr:uid="{00000000-0005-0000-0000-0000B8290000}"/>
    <cellStyle name="40% - Accent3 2 2 7 3" xfId="8477" xr:uid="{00000000-0005-0000-0000-0000B9290000}"/>
    <cellStyle name="40% - Accent3 2 2 7 4" xfId="20050" xr:uid="{00000000-0005-0000-0000-0000BA290000}"/>
    <cellStyle name="40% - Accent3 2 2 8" xfId="8478" xr:uid="{00000000-0005-0000-0000-0000BB290000}"/>
    <cellStyle name="40% - Accent3 2 2 8 2" xfId="8479" xr:uid="{00000000-0005-0000-0000-0000BC290000}"/>
    <cellStyle name="40% - Accent3 2 2 8 3" xfId="21343" xr:uid="{00000000-0005-0000-0000-0000BD290000}"/>
    <cellStyle name="40% - Accent3 2 2 9" xfId="8480" xr:uid="{00000000-0005-0000-0000-0000BE290000}"/>
    <cellStyle name="40% - Accent3 2 3" xfId="8481" xr:uid="{00000000-0005-0000-0000-0000BF290000}"/>
    <cellStyle name="40% - Accent3 2 3 2" xfId="8482" xr:uid="{00000000-0005-0000-0000-0000C0290000}"/>
    <cellStyle name="40% - Accent3 2 3 2 2" xfId="8483" xr:uid="{00000000-0005-0000-0000-0000C1290000}"/>
    <cellStyle name="40% - Accent3 2 3 2 2 2" xfId="8484" xr:uid="{00000000-0005-0000-0000-0000C2290000}"/>
    <cellStyle name="40% - Accent3 2 3 2 2 2 2" xfId="8485" xr:uid="{00000000-0005-0000-0000-0000C3290000}"/>
    <cellStyle name="40% - Accent3 2 3 2 2 2 2 2" xfId="8486" xr:uid="{00000000-0005-0000-0000-0000C4290000}"/>
    <cellStyle name="40% - Accent3 2 3 2 2 2 2 2 2" xfId="8487" xr:uid="{00000000-0005-0000-0000-0000C5290000}"/>
    <cellStyle name="40% - Accent3 2 3 2 2 2 2 2 2 2" xfId="8488" xr:uid="{00000000-0005-0000-0000-0000C6290000}"/>
    <cellStyle name="40% - Accent3 2 3 2 2 2 2 2 2 3" xfId="23862" xr:uid="{00000000-0005-0000-0000-0000C7290000}"/>
    <cellStyle name="40% - Accent3 2 3 2 2 2 2 2 3" xfId="8489" xr:uid="{00000000-0005-0000-0000-0000C8290000}"/>
    <cellStyle name="40% - Accent3 2 3 2 2 2 2 2 4" xfId="21279" xr:uid="{00000000-0005-0000-0000-0000C9290000}"/>
    <cellStyle name="40% - Accent3 2 3 2 2 2 2 3" xfId="8490" xr:uid="{00000000-0005-0000-0000-0000CA290000}"/>
    <cellStyle name="40% - Accent3 2 3 2 2 2 2 3 2" xfId="8491" xr:uid="{00000000-0005-0000-0000-0000CB290000}"/>
    <cellStyle name="40% - Accent3 2 3 2 2 2 2 3 3" xfId="22572" xr:uid="{00000000-0005-0000-0000-0000CC290000}"/>
    <cellStyle name="40% - Accent3 2 3 2 2 2 2 4" xfId="8492" xr:uid="{00000000-0005-0000-0000-0000CD290000}"/>
    <cellStyle name="40% - Accent3 2 3 2 2 2 2 5" xfId="19985" xr:uid="{00000000-0005-0000-0000-0000CE290000}"/>
    <cellStyle name="40% - Accent3 2 3 2 2 2 3" xfId="8493" xr:uid="{00000000-0005-0000-0000-0000CF290000}"/>
    <cellStyle name="40% - Accent3 2 3 2 2 2 3 2" xfId="8494" xr:uid="{00000000-0005-0000-0000-0000D0290000}"/>
    <cellStyle name="40% - Accent3 2 3 2 2 2 3 2 2" xfId="8495" xr:uid="{00000000-0005-0000-0000-0000D1290000}"/>
    <cellStyle name="40% - Accent3 2 3 2 2 2 3 2 3" xfId="23217" xr:uid="{00000000-0005-0000-0000-0000D2290000}"/>
    <cellStyle name="40% - Accent3 2 3 2 2 2 3 3" xfId="8496" xr:uid="{00000000-0005-0000-0000-0000D3290000}"/>
    <cellStyle name="40% - Accent3 2 3 2 2 2 3 4" xfId="20634" xr:uid="{00000000-0005-0000-0000-0000D4290000}"/>
    <cellStyle name="40% - Accent3 2 3 2 2 2 4" xfId="8497" xr:uid="{00000000-0005-0000-0000-0000D5290000}"/>
    <cellStyle name="40% - Accent3 2 3 2 2 2 4 2" xfId="8498" xr:uid="{00000000-0005-0000-0000-0000D6290000}"/>
    <cellStyle name="40% - Accent3 2 3 2 2 2 4 3" xfId="21927" xr:uid="{00000000-0005-0000-0000-0000D7290000}"/>
    <cellStyle name="40% - Accent3 2 3 2 2 2 5" xfId="8499" xr:uid="{00000000-0005-0000-0000-0000D8290000}"/>
    <cellStyle name="40% - Accent3 2 3 2 2 2 6" xfId="19337" xr:uid="{00000000-0005-0000-0000-0000D9290000}"/>
    <cellStyle name="40% - Accent3 2 3 2 2 3" xfId="8500" xr:uid="{00000000-0005-0000-0000-0000DA290000}"/>
    <cellStyle name="40% - Accent3 2 3 2 2 3 2" xfId="8501" xr:uid="{00000000-0005-0000-0000-0000DB290000}"/>
    <cellStyle name="40% - Accent3 2 3 2 2 3 2 2" xfId="8502" xr:uid="{00000000-0005-0000-0000-0000DC290000}"/>
    <cellStyle name="40% - Accent3 2 3 2 2 3 2 2 2" xfId="8503" xr:uid="{00000000-0005-0000-0000-0000DD290000}"/>
    <cellStyle name="40% - Accent3 2 3 2 2 3 2 2 3" xfId="23540" xr:uid="{00000000-0005-0000-0000-0000DE290000}"/>
    <cellStyle name="40% - Accent3 2 3 2 2 3 2 3" xfId="8504" xr:uid="{00000000-0005-0000-0000-0000DF290000}"/>
    <cellStyle name="40% - Accent3 2 3 2 2 3 2 4" xfId="20957" xr:uid="{00000000-0005-0000-0000-0000E0290000}"/>
    <cellStyle name="40% - Accent3 2 3 2 2 3 3" xfId="8505" xr:uid="{00000000-0005-0000-0000-0000E1290000}"/>
    <cellStyle name="40% - Accent3 2 3 2 2 3 3 2" xfId="8506" xr:uid="{00000000-0005-0000-0000-0000E2290000}"/>
    <cellStyle name="40% - Accent3 2 3 2 2 3 3 3" xfId="22250" xr:uid="{00000000-0005-0000-0000-0000E3290000}"/>
    <cellStyle name="40% - Accent3 2 3 2 2 3 4" xfId="8507" xr:uid="{00000000-0005-0000-0000-0000E4290000}"/>
    <cellStyle name="40% - Accent3 2 3 2 2 3 5" xfId="19663" xr:uid="{00000000-0005-0000-0000-0000E5290000}"/>
    <cellStyle name="40% - Accent3 2 3 2 2 4" xfId="8508" xr:uid="{00000000-0005-0000-0000-0000E6290000}"/>
    <cellStyle name="40% - Accent3 2 3 2 2 4 2" xfId="8509" xr:uid="{00000000-0005-0000-0000-0000E7290000}"/>
    <cellStyle name="40% - Accent3 2 3 2 2 4 2 2" xfId="8510" xr:uid="{00000000-0005-0000-0000-0000E8290000}"/>
    <cellStyle name="40% - Accent3 2 3 2 2 4 2 3" xfId="22895" xr:uid="{00000000-0005-0000-0000-0000E9290000}"/>
    <cellStyle name="40% - Accent3 2 3 2 2 4 3" xfId="8511" xr:uid="{00000000-0005-0000-0000-0000EA290000}"/>
    <cellStyle name="40% - Accent3 2 3 2 2 4 4" xfId="20312" xr:uid="{00000000-0005-0000-0000-0000EB290000}"/>
    <cellStyle name="40% - Accent3 2 3 2 2 5" xfId="8512" xr:uid="{00000000-0005-0000-0000-0000EC290000}"/>
    <cellStyle name="40% - Accent3 2 3 2 2 5 2" xfId="8513" xr:uid="{00000000-0005-0000-0000-0000ED290000}"/>
    <cellStyle name="40% - Accent3 2 3 2 2 5 3" xfId="21605" xr:uid="{00000000-0005-0000-0000-0000EE290000}"/>
    <cellStyle name="40% - Accent3 2 3 2 2 6" xfId="8514" xr:uid="{00000000-0005-0000-0000-0000EF290000}"/>
    <cellStyle name="40% - Accent3 2 3 2 2 7" xfId="19011" xr:uid="{00000000-0005-0000-0000-0000F0290000}"/>
    <cellStyle name="40% - Accent3 2 3 2 3" xfId="8515" xr:uid="{00000000-0005-0000-0000-0000F1290000}"/>
    <cellStyle name="40% - Accent3 2 3 2 3 2" xfId="8516" xr:uid="{00000000-0005-0000-0000-0000F2290000}"/>
    <cellStyle name="40% - Accent3 2 3 2 3 2 2" xfId="8517" xr:uid="{00000000-0005-0000-0000-0000F3290000}"/>
    <cellStyle name="40% - Accent3 2 3 2 3 2 2 2" xfId="8518" xr:uid="{00000000-0005-0000-0000-0000F4290000}"/>
    <cellStyle name="40% - Accent3 2 3 2 3 2 2 2 2" xfId="8519" xr:uid="{00000000-0005-0000-0000-0000F5290000}"/>
    <cellStyle name="40% - Accent3 2 3 2 3 2 2 2 3" xfId="23701" xr:uid="{00000000-0005-0000-0000-0000F6290000}"/>
    <cellStyle name="40% - Accent3 2 3 2 3 2 2 3" xfId="8520" xr:uid="{00000000-0005-0000-0000-0000F7290000}"/>
    <cellStyle name="40% - Accent3 2 3 2 3 2 2 4" xfId="21118" xr:uid="{00000000-0005-0000-0000-0000F8290000}"/>
    <cellStyle name="40% - Accent3 2 3 2 3 2 3" xfId="8521" xr:uid="{00000000-0005-0000-0000-0000F9290000}"/>
    <cellStyle name="40% - Accent3 2 3 2 3 2 3 2" xfId="8522" xr:uid="{00000000-0005-0000-0000-0000FA290000}"/>
    <cellStyle name="40% - Accent3 2 3 2 3 2 3 3" xfId="22411" xr:uid="{00000000-0005-0000-0000-0000FB290000}"/>
    <cellStyle name="40% - Accent3 2 3 2 3 2 4" xfId="8523" xr:uid="{00000000-0005-0000-0000-0000FC290000}"/>
    <cellStyle name="40% - Accent3 2 3 2 3 2 5" xfId="19824" xr:uid="{00000000-0005-0000-0000-0000FD290000}"/>
    <cellStyle name="40% - Accent3 2 3 2 3 3" xfId="8524" xr:uid="{00000000-0005-0000-0000-0000FE290000}"/>
    <cellStyle name="40% - Accent3 2 3 2 3 3 2" xfId="8525" xr:uid="{00000000-0005-0000-0000-0000FF290000}"/>
    <cellStyle name="40% - Accent3 2 3 2 3 3 2 2" xfId="8526" xr:uid="{00000000-0005-0000-0000-0000002A0000}"/>
    <cellStyle name="40% - Accent3 2 3 2 3 3 2 3" xfId="23056" xr:uid="{00000000-0005-0000-0000-0000012A0000}"/>
    <cellStyle name="40% - Accent3 2 3 2 3 3 3" xfId="8527" xr:uid="{00000000-0005-0000-0000-0000022A0000}"/>
    <cellStyle name="40% - Accent3 2 3 2 3 3 4" xfId="20473" xr:uid="{00000000-0005-0000-0000-0000032A0000}"/>
    <cellStyle name="40% - Accent3 2 3 2 3 4" xfId="8528" xr:uid="{00000000-0005-0000-0000-0000042A0000}"/>
    <cellStyle name="40% - Accent3 2 3 2 3 4 2" xfId="8529" xr:uid="{00000000-0005-0000-0000-0000052A0000}"/>
    <cellStyle name="40% - Accent3 2 3 2 3 4 3" xfId="21766" xr:uid="{00000000-0005-0000-0000-0000062A0000}"/>
    <cellStyle name="40% - Accent3 2 3 2 3 5" xfId="8530" xr:uid="{00000000-0005-0000-0000-0000072A0000}"/>
    <cellStyle name="40% - Accent3 2 3 2 3 6" xfId="19176" xr:uid="{00000000-0005-0000-0000-0000082A0000}"/>
    <cellStyle name="40% - Accent3 2 3 2 4" xfId="8531" xr:uid="{00000000-0005-0000-0000-0000092A0000}"/>
    <cellStyle name="40% - Accent3 2 3 2 4 2" xfId="8532" xr:uid="{00000000-0005-0000-0000-00000A2A0000}"/>
    <cellStyle name="40% - Accent3 2 3 2 4 2 2" xfId="8533" xr:uid="{00000000-0005-0000-0000-00000B2A0000}"/>
    <cellStyle name="40% - Accent3 2 3 2 4 2 2 2" xfId="8534" xr:uid="{00000000-0005-0000-0000-00000C2A0000}"/>
    <cellStyle name="40% - Accent3 2 3 2 4 2 2 3" xfId="23379" xr:uid="{00000000-0005-0000-0000-00000D2A0000}"/>
    <cellStyle name="40% - Accent3 2 3 2 4 2 3" xfId="8535" xr:uid="{00000000-0005-0000-0000-00000E2A0000}"/>
    <cellStyle name="40% - Accent3 2 3 2 4 2 4" xfId="20796" xr:uid="{00000000-0005-0000-0000-00000F2A0000}"/>
    <cellStyle name="40% - Accent3 2 3 2 4 3" xfId="8536" xr:uid="{00000000-0005-0000-0000-0000102A0000}"/>
    <cellStyle name="40% - Accent3 2 3 2 4 3 2" xfId="8537" xr:uid="{00000000-0005-0000-0000-0000112A0000}"/>
    <cellStyle name="40% - Accent3 2 3 2 4 3 3" xfId="22089" xr:uid="{00000000-0005-0000-0000-0000122A0000}"/>
    <cellStyle name="40% - Accent3 2 3 2 4 4" xfId="8538" xr:uid="{00000000-0005-0000-0000-0000132A0000}"/>
    <cellStyle name="40% - Accent3 2 3 2 4 5" xfId="19502" xr:uid="{00000000-0005-0000-0000-0000142A0000}"/>
    <cellStyle name="40% - Accent3 2 3 2 5" xfId="8539" xr:uid="{00000000-0005-0000-0000-0000152A0000}"/>
    <cellStyle name="40% - Accent3 2 3 2 5 2" xfId="8540" xr:uid="{00000000-0005-0000-0000-0000162A0000}"/>
    <cellStyle name="40% - Accent3 2 3 2 5 2 2" xfId="8541" xr:uid="{00000000-0005-0000-0000-0000172A0000}"/>
    <cellStyle name="40% - Accent3 2 3 2 5 2 3" xfId="22734" xr:uid="{00000000-0005-0000-0000-0000182A0000}"/>
    <cellStyle name="40% - Accent3 2 3 2 5 3" xfId="8542" xr:uid="{00000000-0005-0000-0000-0000192A0000}"/>
    <cellStyle name="40% - Accent3 2 3 2 5 4" xfId="20151" xr:uid="{00000000-0005-0000-0000-00001A2A0000}"/>
    <cellStyle name="40% - Accent3 2 3 2 6" xfId="8543" xr:uid="{00000000-0005-0000-0000-00001B2A0000}"/>
    <cellStyle name="40% - Accent3 2 3 2 6 2" xfId="8544" xr:uid="{00000000-0005-0000-0000-00001C2A0000}"/>
    <cellStyle name="40% - Accent3 2 3 2 6 3" xfId="21444" xr:uid="{00000000-0005-0000-0000-00001D2A0000}"/>
    <cellStyle name="40% - Accent3 2 3 2 7" xfId="8545" xr:uid="{00000000-0005-0000-0000-00001E2A0000}"/>
    <cellStyle name="40% - Accent3 2 3 2 8" xfId="18846" xr:uid="{00000000-0005-0000-0000-00001F2A0000}"/>
    <cellStyle name="40% - Accent3 2 3 3" xfId="8546" xr:uid="{00000000-0005-0000-0000-0000202A0000}"/>
    <cellStyle name="40% - Accent3 2 3 3 2" xfId="8547" xr:uid="{00000000-0005-0000-0000-0000212A0000}"/>
    <cellStyle name="40% - Accent3 2 3 3 2 2" xfId="8548" xr:uid="{00000000-0005-0000-0000-0000222A0000}"/>
    <cellStyle name="40% - Accent3 2 3 3 2 2 2" xfId="8549" xr:uid="{00000000-0005-0000-0000-0000232A0000}"/>
    <cellStyle name="40% - Accent3 2 3 3 2 2 2 2" xfId="8550" xr:uid="{00000000-0005-0000-0000-0000242A0000}"/>
    <cellStyle name="40% - Accent3 2 3 3 2 2 2 2 2" xfId="8551" xr:uid="{00000000-0005-0000-0000-0000252A0000}"/>
    <cellStyle name="40% - Accent3 2 3 3 2 2 2 2 3" xfId="23782" xr:uid="{00000000-0005-0000-0000-0000262A0000}"/>
    <cellStyle name="40% - Accent3 2 3 3 2 2 2 3" xfId="8552" xr:uid="{00000000-0005-0000-0000-0000272A0000}"/>
    <cellStyle name="40% - Accent3 2 3 3 2 2 2 4" xfId="21199" xr:uid="{00000000-0005-0000-0000-0000282A0000}"/>
    <cellStyle name="40% - Accent3 2 3 3 2 2 3" xfId="8553" xr:uid="{00000000-0005-0000-0000-0000292A0000}"/>
    <cellStyle name="40% - Accent3 2 3 3 2 2 3 2" xfId="8554" xr:uid="{00000000-0005-0000-0000-00002A2A0000}"/>
    <cellStyle name="40% - Accent3 2 3 3 2 2 3 3" xfId="22492" xr:uid="{00000000-0005-0000-0000-00002B2A0000}"/>
    <cellStyle name="40% - Accent3 2 3 3 2 2 4" xfId="8555" xr:uid="{00000000-0005-0000-0000-00002C2A0000}"/>
    <cellStyle name="40% - Accent3 2 3 3 2 2 5" xfId="19905" xr:uid="{00000000-0005-0000-0000-00002D2A0000}"/>
    <cellStyle name="40% - Accent3 2 3 3 2 3" xfId="8556" xr:uid="{00000000-0005-0000-0000-00002E2A0000}"/>
    <cellStyle name="40% - Accent3 2 3 3 2 3 2" xfId="8557" xr:uid="{00000000-0005-0000-0000-00002F2A0000}"/>
    <cellStyle name="40% - Accent3 2 3 3 2 3 2 2" xfId="8558" xr:uid="{00000000-0005-0000-0000-0000302A0000}"/>
    <cellStyle name="40% - Accent3 2 3 3 2 3 2 3" xfId="23137" xr:uid="{00000000-0005-0000-0000-0000312A0000}"/>
    <cellStyle name="40% - Accent3 2 3 3 2 3 3" xfId="8559" xr:uid="{00000000-0005-0000-0000-0000322A0000}"/>
    <cellStyle name="40% - Accent3 2 3 3 2 3 4" xfId="20554" xr:uid="{00000000-0005-0000-0000-0000332A0000}"/>
    <cellStyle name="40% - Accent3 2 3 3 2 4" xfId="8560" xr:uid="{00000000-0005-0000-0000-0000342A0000}"/>
    <cellStyle name="40% - Accent3 2 3 3 2 4 2" xfId="8561" xr:uid="{00000000-0005-0000-0000-0000352A0000}"/>
    <cellStyle name="40% - Accent3 2 3 3 2 4 3" xfId="21847" xr:uid="{00000000-0005-0000-0000-0000362A0000}"/>
    <cellStyle name="40% - Accent3 2 3 3 2 5" xfId="8562" xr:uid="{00000000-0005-0000-0000-0000372A0000}"/>
    <cellStyle name="40% - Accent3 2 3 3 2 6" xfId="19257" xr:uid="{00000000-0005-0000-0000-0000382A0000}"/>
    <cellStyle name="40% - Accent3 2 3 3 3" xfId="8563" xr:uid="{00000000-0005-0000-0000-0000392A0000}"/>
    <cellStyle name="40% - Accent3 2 3 3 3 2" xfId="8564" xr:uid="{00000000-0005-0000-0000-00003A2A0000}"/>
    <cellStyle name="40% - Accent3 2 3 3 3 2 2" xfId="8565" xr:uid="{00000000-0005-0000-0000-00003B2A0000}"/>
    <cellStyle name="40% - Accent3 2 3 3 3 2 2 2" xfId="8566" xr:uid="{00000000-0005-0000-0000-00003C2A0000}"/>
    <cellStyle name="40% - Accent3 2 3 3 3 2 2 3" xfId="23460" xr:uid="{00000000-0005-0000-0000-00003D2A0000}"/>
    <cellStyle name="40% - Accent3 2 3 3 3 2 3" xfId="8567" xr:uid="{00000000-0005-0000-0000-00003E2A0000}"/>
    <cellStyle name="40% - Accent3 2 3 3 3 2 4" xfId="20877" xr:uid="{00000000-0005-0000-0000-00003F2A0000}"/>
    <cellStyle name="40% - Accent3 2 3 3 3 3" xfId="8568" xr:uid="{00000000-0005-0000-0000-0000402A0000}"/>
    <cellStyle name="40% - Accent3 2 3 3 3 3 2" xfId="8569" xr:uid="{00000000-0005-0000-0000-0000412A0000}"/>
    <cellStyle name="40% - Accent3 2 3 3 3 3 3" xfId="22170" xr:uid="{00000000-0005-0000-0000-0000422A0000}"/>
    <cellStyle name="40% - Accent3 2 3 3 3 4" xfId="8570" xr:uid="{00000000-0005-0000-0000-0000432A0000}"/>
    <cellStyle name="40% - Accent3 2 3 3 3 5" xfId="19583" xr:uid="{00000000-0005-0000-0000-0000442A0000}"/>
    <cellStyle name="40% - Accent3 2 3 3 4" xfId="8571" xr:uid="{00000000-0005-0000-0000-0000452A0000}"/>
    <cellStyle name="40% - Accent3 2 3 3 4 2" xfId="8572" xr:uid="{00000000-0005-0000-0000-0000462A0000}"/>
    <cellStyle name="40% - Accent3 2 3 3 4 2 2" xfId="8573" xr:uid="{00000000-0005-0000-0000-0000472A0000}"/>
    <cellStyle name="40% - Accent3 2 3 3 4 2 3" xfId="22815" xr:uid="{00000000-0005-0000-0000-0000482A0000}"/>
    <cellStyle name="40% - Accent3 2 3 3 4 3" xfId="8574" xr:uid="{00000000-0005-0000-0000-0000492A0000}"/>
    <cellStyle name="40% - Accent3 2 3 3 4 4" xfId="20232" xr:uid="{00000000-0005-0000-0000-00004A2A0000}"/>
    <cellStyle name="40% - Accent3 2 3 3 5" xfId="8575" xr:uid="{00000000-0005-0000-0000-00004B2A0000}"/>
    <cellStyle name="40% - Accent3 2 3 3 5 2" xfId="8576" xr:uid="{00000000-0005-0000-0000-00004C2A0000}"/>
    <cellStyle name="40% - Accent3 2 3 3 5 3" xfId="21525" xr:uid="{00000000-0005-0000-0000-00004D2A0000}"/>
    <cellStyle name="40% - Accent3 2 3 3 6" xfId="8577" xr:uid="{00000000-0005-0000-0000-00004E2A0000}"/>
    <cellStyle name="40% - Accent3 2 3 3 7" xfId="18931" xr:uid="{00000000-0005-0000-0000-00004F2A0000}"/>
    <cellStyle name="40% - Accent3 2 3 4" xfId="8578" xr:uid="{00000000-0005-0000-0000-0000502A0000}"/>
    <cellStyle name="40% - Accent3 2 3 4 2" xfId="8579" xr:uid="{00000000-0005-0000-0000-0000512A0000}"/>
    <cellStyle name="40% - Accent3 2 3 4 2 2" xfId="8580" xr:uid="{00000000-0005-0000-0000-0000522A0000}"/>
    <cellStyle name="40% - Accent3 2 3 4 2 2 2" xfId="8581" xr:uid="{00000000-0005-0000-0000-0000532A0000}"/>
    <cellStyle name="40% - Accent3 2 3 4 2 2 2 2" xfId="8582" xr:uid="{00000000-0005-0000-0000-0000542A0000}"/>
    <cellStyle name="40% - Accent3 2 3 4 2 2 2 3" xfId="23621" xr:uid="{00000000-0005-0000-0000-0000552A0000}"/>
    <cellStyle name="40% - Accent3 2 3 4 2 2 3" xfId="8583" xr:uid="{00000000-0005-0000-0000-0000562A0000}"/>
    <cellStyle name="40% - Accent3 2 3 4 2 2 4" xfId="21038" xr:uid="{00000000-0005-0000-0000-0000572A0000}"/>
    <cellStyle name="40% - Accent3 2 3 4 2 3" xfId="8584" xr:uid="{00000000-0005-0000-0000-0000582A0000}"/>
    <cellStyle name="40% - Accent3 2 3 4 2 3 2" xfId="8585" xr:uid="{00000000-0005-0000-0000-0000592A0000}"/>
    <cellStyle name="40% - Accent3 2 3 4 2 3 3" xfId="22331" xr:uid="{00000000-0005-0000-0000-00005A2A0000}"/>
    <cellStyle name="40% - Accent3 2 3 4 2 4" xfId="8586" xr:uid="{00000000-0005-0000-0000-00005B2A0000}"/>
    <cellStyle name="40% - Accent3 2 3 4 2 5" xfId="19744" xr:uid="{00000000-0005-0000-0000-00005C2A0000}"/>
    <cellStyle name="40% - Accent3 2 3 4 3" xfId="8587" xr:uid="{00000000-0005-0000-0000-00005D2A0000}"/>
    <cellStyle name="40% - Accent3 2 3 4 3 2" xfId="8588" xr:uid="{00000000-0005-0000-0000-00005E2A0000}"/>
    <cellStyle name="40% - Accent3 2 3 4 3 2 2" xfId="8589" xr:uid="{00000000-0005-0000-0000-00005F2A0000}"/>
    <cellStyle name="40% - Accent3 2 3 4 3 2 3" xfId="22976" xr:uid="{00000000-0005-0000-0000-0000602A0000}"/>
    <cellStyle name="40% - Accent3 2 3 4 3 3" xfId="8590" xr:uid="{00000000-0005-0000-0000-0000612A0000}"/>
    <cellStyle name="40% - Accent3 2 3 4 3 4" xfId="20393" xr:uid="{00000000-0005-0000-0000-0000622A0000}"/>
    <cellStyle name="40% - Accent3 2 3 4 4" xfId="8591" xr:uid="{00000000-0005-0000-0000-0000632A0000}"/>
    <cellStyle name="40% - Accent3 2 3 4 4 2" xfId="8592" xr:uid="{00000000-0005-0000-0000-0000642A0000}"/>
    <cellStyle name="40% - Accent3 2 3 4 4 3" xfId="21686" xr:uid="{00000000-0005-0000-0000-0000652A0000}"/>
    <cellStyle name="40% - Accent3 2 3 4 5" xfId="8593" xr:uid="{00000000-0005-0000-0000-0000662A0000}"/>
    <cellStyle name="40% - Accent3 2 3 4 6" xfId="19096" xr:uid="{00000000-0005-0000-0000-0000672A0000}"/>
    <cellStyle name="40% - Accent3 2 3 5" xfId="8594" xr:uid="{00000000-0005-0000-0000-0000682A0000}"/>
    <cellStyle name="40% - Accent3 2 3 5 2" xfId="8595" xr:uid="{00000000-0005-0000-0000-0000692A0000}"/>
    <cellStyle name="40% - Accent3 2 3 5 2 2" xfId="8596" xr:uid="{00000000-0005-0000-0000-00006A2A0000}"/>
    <cellStyle name="40% - Accent3 2 3 5 2 2 2" xfId="8597" xr:uid="{00000000-0005-0000-0000-00006B2A0000}"/>
    <cellStyle name="40% - Accent3 2 3 5 2 2 3" xfId="23298" xr:uid="{00000000-0005-0000-0000-00006C2A0000}"/>
    <cellStyle name="40% - Accent3 2 3 5 2 3" xfId="8598" xr:uid="{00000000-0005-0000-0000-00006D2A0000}"/>
    <cellStyle name="40% - Accent3 2 3 5 2 4" xfId="20715" xr:uid="{00000000-0005-0000-0000-00006E2A0000}"/>
    <cellStyle name="40% - Accent3 2 3 5 3" xfId="8599" xr:uid="{00000000-0005-0000-0000-00006F2A0000}"/>
    <cellStyle name="40% - Accent3 2 3 5 3 2" xfId="8600" xr:uid="{00000000-0005-0000-0000-0000702A0000}"/>
    <cellStyle name="40% - Accent3 2 3 5 3 3" xfId="22008" xr:uid="{00000000-0005-0000-0000-0000712A0000}"/>
    <cellStyle name="40% - Accent3 2 3 5 4" xfId="8601" xr:uid="{00000000-0005-0000-0000-0000722A0000}"/>
    <cellStyle name="40% - Accent3 2 3 5 5" xfId="19422" xr:uid="{00000000-0005-0000-0000-0000732A0000}"/>
    <cellStyle name="40% - Accent3 2 3 6" xfId="8602" xr:uid="{00000000-0005-0000-0000-0000742A0000}"/>
    <cellStyle name="40% - Accent3 2 3 6 2" xfId="8603" xr:uid="{00000000-0005-0000-0000-0000752A0000}"/>
    <cellStyle name="40% - Accent3 2 3 6 2 2" xfId="8604" xr:uid="{00000000-0005-0000-0000-0000762A0000}"/>
    <cellStyle name="40% - Accent3 2 3 6 2 3" xfId="22653" xr:uid="{00000000-0005-0000-0000-0000772A0000}"/>
    <cellStyle name="40% - Accent3 2 3 6 3" xfId="8605" xr:uid="{00000000-0005-0000-0000-0000782A0000}"/>
    <cellStyle name="40% - Accent3 2 3 6 4" xfId="20070" xr:uid="{00000000-0005-0000-0000-0000792A0000}"/>
    <cellStyle name="40% - Accent3 2 3 7" xfId="8606" xr:uid="{00000000-0005-0000-0000-00007A2A0000}"/>
    <cellStyle name="40% - Accent3 2 3 7 2" xfId="8607" xr:uid="{00000000-0005-0000-0000-00007B2A0000}"/>
    <cellStyle name="40% - Accent3 2 3 7 3" xfId="21363" xr:uid="{00000000-0005-0000-0000-00007C2A0000}"/>
    <cellStyle name="40% - Accent3 2 3 8" xfId="8608" xr:uid="{00000000-0005-0000-0000-00007D2A0000}"/>
    <cellStyle name="40% - Accent3 2 3 9" xfId="18749" xr:uid="{00000000-0005-0000-0000-00007E2A0000}"/>
    <cellStyle name="40% - Accent3 2 4" xfId="8609" xr:uid="{00000000-0005-0000-0000-00007F2A0000}"/>
    <cellStyle name="40% - Accent3 2 4 2" xfId="8610" xr:uid="{00000000-0005-0000-0000-0000802A0000}"/>
    <cellStyle name="40% - Accent3 2 4 2 2" xfId="8611" xr:uid="{00000000-0005-0000-0000-0000812A0000}"/>
    <cellStyle name="40% - Accent3 2 4 2 2 2" xfId="8612" xr:uid="{00000000-0005-0000-0000-0000822A0000}"/>
    <cellStyle name="40% - Accent3 2 4 2 2 2 2" xfId="8613" xr:uid="{00000000-0005-0000-0000-0000832A0000}"/>
    <cellStyle name="40% - Accent3 2 4 2 2 2 2 2" xfId="8614" xr:uid="{00000000-0005-0000-0000-0000842A0000}"/>
    <cellStyle name="40% - Accent3 2 4 2 2 2 2 2 2" xfId="8615" xr:uid="{00000000-0005-0000-0000-0000852A0000}"/>
    <cellStyle name="40% - Accent3 2 4 2 2 2 2 2 3" xfId="23822" xr:uid="{00000000-0005-0000-0000-0000862A0000}"/>
    <cellStyle name="40% - Accent3 2 4 2 2 2 2 3" xfId="8616" xr:uid="{00000000-0005-0000-0000-0000872A0000}"/>
    <cellStyle name="40% - Accent3 2 4 2 2 2 2 4" xfId="21239" xr:uid="{00000000-0005-0000-0000-0000882A0000}"/>
    <cellStyle name="40% - Accent3 2 4 2 2 2 3" xfId="8617" xr:uid="{00000000-0005-0000-0000-0000892A0000}"/>
    <cellStyle name="40% - Accent3 2 4 2 2 2 3 2" xfId="8618" xr:uid="{00000000-0005-0000-0000-00008A2A0000}"/>
    <cellStyle name="40% - Accent3 2 4 2 2 2 3 3" xfId="22532" xr:uid="{00000000-0005-0000-0000-00008B2A0000}"/>
    <cellStyle name="40% - Accent3 2 4 2 2 2 4" xfId="8619" xr:uid="{00000000-0005-0000-0000-00008C2A0000}"/>
    <cellStyle name="40% - Accent3 2 4 2 2 2 5" xfId="19945" xr:uid="{00000000-0005-0000-0000-00008D2A0000}"/>
    <cellStyle name="40% - Accent3 2 4 2 2 3" xfId="8620" xr:uid="{00000000-0005-0000-0000-00008E2A0000}"/>
    <cellStyle name="40% - Accent3 2 4 2 2 3 2" xfId="8621" xr:uid="{00000000-0005-0000-0000-00008F2A0000}"/>
    <cellStyle name="40% - Accent3 2 4 2 2 3 2 2" xfId="8622" xr:uid="{00000000-0005-0000-0000-0000902A0000}"/>
    <cellStyle name="40% - Accent3 2 4 2 2 3 2 3" xfId="23177" xr:uid="{00000000-0005-0000-0000-0000912A0000}"/>
    <cellStyle name="40% - Accent3 2 4 2 2 3 3" xfId="8623" xr:uid="{00000000-0005-0000-0000-0000922A0000}"/>
    <cellStyle name="40% - Accent3 2 4 2 2 3 4" xfId="20594" xr:uid="{00000000-0005-0000-0000-0000932A0000}"/>
    <cellStyle name="40% - Accent3 2 4 2 2 4" xfId="8624" xr:uid="{00000000-0005-0000-0000-0000942A0000}"/>
    <cellStyle name="40% - Accent3 2 4 2 2 4 2" xfId="8625" xr:uid="{00000000-0005-0000-0000-0000952A0000}"/>
    <cellStyle name="40% - Accent3 2 4 2 2 4 3" xfId="21887" xr:uid="{00000000-0005-0000-0000-0000962A0000}"/>
    <cellStyle name="40% - Accent3 2 4 2 2 5" xfId="8626" xr:uid="{00000000-0005-0000-0000-0000972A0000}"/>
    <cellStyle name="40% - Accent3 2 4 2 2 6" xfId="19297" xr:uid="{00000000-0005-0000-0000-0000982A0000}"/>
    <cellStyle name="40% - Accent3 2 4 2 3" xfId="8627" xr:uid="{00000000-0005-0000-0000-0000992A0000}"/>
    <cellStyle name="40% - Accent3 2 4 2 3 2" xfId="8628" xr:uid="{00000000-0005-0000-0000-00009A2A0000}"/>
    <cellStyle name="40% - Accent3 2 4 2 3 2 2" xfId="8629" xr:uid="{00000000-0005-0000-0000-00009B2A0000}"/>
    <cellStyle name="40% - Accent3 2 4 2 3 2 2 2" xfId="8630" xr:uid="{00000000-0005-0000-0000-00009C2A0000}"/>
    <cellStyle name="40% - Accent3 2 4 2 3 2 2 3" xfId="23500" xr:uid="{00000000-0005-0000-0000-00009D2A0000}"/>
    <cellStyle name="40% - Accent3 2 4 2 3 2 3" xfId="8631" xr:uid="{00000000-0005-0000-0000-00009E2A0000}"/>
    <cellStyle name="40% - Accent3 2 4 2 3 2 4" xfId="20917" xr:uid="{00000000-0005-0000-0000-00009F2A0000}"/>
    <cellStyle name="40% - Accent3 2 4 2 3 3" xfId="8632" xr:uid="{00000000-0005-0000-0000-0000A02A0000}"/>
    <cellStyle name="40% - Accent3 2 4 2 3 3 2" xfId="8633" xr:uid="{00000000-0005-0000-0000-0000A12A0000}"/>
    <cellStyle name="40% - Accent3 2 4 2 3 3 3" xfId="22210" xr:uid="{00000000-0005-0000-0000-0000A22A0000}"/>
    <cellStyle name="40% - Accent3 2 4 2 3 4" xfId="8634" xr:uid="{00000000-0005-0000-0000-0000A32A0000}"/>
    <cellStyle name="40% - Accent3 2 4 2 3 5" xfId="19623" xr:uid="{00000000-0005-0000-0000-0000A42A0000}"/>
    <cellStyle name="40% - Accent3 2 4 2 4" xfId="8635" xr:uid="{00000000-0005-0000-0000-0000A52A0000}"/>
    <cellStyle name="40% - Accent3 2 4 2 4 2" xfId="8636" xr:uid="{00000000-0005-0000-0000-0000A62A0000}"/>
    <cellStyle name="40% - Accent3 2 4 2 4 2 2" xfId="8637" xr:uid="{00000000-0005-0000-0000-0000A72A0000}"/>
    <cellStyle name="40% - Accent3 2 4 2 4 2 3" xfId="22855" xr:uid="{00000000-0005-0000-0000-0000A82A0000}"/>
    <cellStyle name="40% - Accent3 2 4 2 4 3" xfId="8638" xr:uid="{00000000-0005-0000-0000-0000A92A0000}"/>
    <cellStyle name="40% - Accent3 2 4 2 4 4" xfId="20272" xr:uid="{00000000-0005-0000-0000-0000AA2A0000}"/>
    <cellStyle name="40% - Accent3 2 4 2 5" xfId="8639" xr:uid="{00000000-0005-0000-0000-0000AB2A0000}"/>
    <cellStyle name="40% - Accent3 2 4 2 5 2" xfId="8640" xr:uid="{00000000-0005-0000-0000-0000AC2A0000}"/>
    <cellStyle name="40% - Accent3 2 4 2 5 3" xfId="21565" xr:uid="{00000000-0005-0000-0000-0000AD2A0000}"/>
    <cellStyle name="40% - Accent3 2 4 2 6" xfId="8641" xr:uid="{00000000-0005-0000-0000-0000AE2A0000}"/>
    <cellStyle name="40% - Accent3 2 4 2 7" xfId="18971" xr:uid="{00000000-0005-0000-0000-0000AF2A0000}"/>
    <cellStyle name="40% - Accent3 2 4 3" xfId="8642" xr:uid="{00000000-0005-0000-0000-0000B02A0000}"/>
    <cellStyle name="40% - Accent3 2 4 3 2" xfId="8643" xr:uid="{00000000-0005-0000-0000-0000B12A0000}"/>
    <cellStyle name="40% - Accent3 2 4 3 2 2" xfId="8644" xr:uid="{00000000-0005-0000-0000-0000B22A0000}"/>
    <cellStyle name="40% - Accent3 2 4 3 2 2 2" xfId="8645" xr:uid="{00000000-0005-0000-0000-0000B32A0000}"/>
    <cellStyle name="40% - Accent3 2 4 3 2 2 2 2" xfId="8646" xr:uid="{00000000-0005-0000-0000-0000B42A0000}"/>
    <cellStyle name="40% - Accent3 2 4 3 2 2 2 3" xfId="23661" xr:uid="{00000000-0005-0000-0000-0000B52A0000}"/>
    <cellStyle name="40% - Accent3 2 4 3 2 2 3" xfId="8647" xr:uid="{00000000-0005-0000-0000-0000B62A0000}"/>
    <cellStyle name="40% - Accent3 2 4 3 2 2 4" xfId="21078" xr:uid="{00000000-0005-0000-0000-0000B72A0000}"/>
    <cellStyle name="40% - Accent3 2 4 3 2 3" xfId="8648" xr:uid="{00000000-0005-0000-0000-0000B82A0000}"/>
    <cellStyle name="40% - Accent3 2 4 3 2 3 2" xfId="8649" xr:uid="{00000000-0005-0000-0000-0000B92A0000}"/>
    <cellStyle name="40% - Accent3 2 4 3 2 3 3" xfId="22371" xr:uid="{00000000-0005-0000-0000-0000BA2A0000}"/>
    <cellStyle name="40% - Accent3 2 4 3 2 4" xfId="8650" xr:uid="{00000000-0005-0000-0000-0000BB2A0000}"/>
    <cellStyle name="40% - Accent3 2 4 3 2 5" xfId="19784" xr:uid="{00000000-0005-0000-0000-0000BC2A0000}"/>
    <cellStyle name="40% - Accent3 2 4 3 3" xfId="8651" xr:uid="{00000000-0005-0000-0000-0000BD2A0000}"/>
    <cellStyle name="40% - Accent3 2 4 3 3 2" xfId="8652" xr:uid="{00000000-0005-0000-0000-0000BE2A0000}"/>
    <cellStyle name="40% - Accent3 2 4 3 3 2 2" xfId="8653" xr:uid="{00000000-0005-0000-0000-0000BF2A0000}"/>
    <cellStyle name="40% - Accent3 2 4 3 3 2 3" xfId="23016" xr:uid="{00000000-0005-0000-0000-0000C02A0000}"/>
    <cellStyle name="40% - Accent3 2 4 3 3 3" xfId="8654" xr:uid="{00000000-0005-0000-0000-0000C12A0000}"/>
    <cellStyle name="40% - Accent3 2 4 3 3 4" xfId="20433" xr:uid="{00000000-0005-0000-0000-0000C22A0000}"/>
    <cellStyle name="40% - Accent3 2 4 3 4" xfId="8655" xr:uid="{00000000-0005-0000-0000-0000C32A0000}"/>
    <cellStyle name="40% - Accent3 2 4 3 4 2" xfId="8656" xr:uid="{00000000-0005-0000-0000-0000C42A0000}"/>
    <cellStyle name="40% - Accent3 2 4 3 4 3" xfId="21726" xr:uid="{00000000-0005-0000-0000-0000C52A0000}"/>
    <cellStyle name="40% - Accent3 2 4 3 5" xfId="8657" xr:uid="{00000000-0005-0000-0000-0000C62A0000}"/>
    <cellStyle name="40% - Accent3 2 4 3 6" xfId="19136" xr:uid="{00000000-0005-0000-0000-0000C72A0000}"/>
    <cellStyle name="40% - Accent3 2 4 4" xfId="8658" xr:uid="{00000000-0005-0000-0000-0000C82A0000}"/>
    <cellStyle name="40% - Accent3 2 4 4 2" xfId="8659" xr:uid="{00000000-0005-0000-0000-0000C92A0000}"/>
    <cellStyle name="40% - Accent3 2 4 4 2 2" xfId="8660" xr:uid="{00000000-0005-0000-0000-0000CA2A0000}"/>
    <cellStyle name="40% - Accent3 2 4 4 2 2 2" xfId="8661" xr:uid="{00000000-0005-0000-0000-0000CB2A0000}"/>
    <cellStyle name="40% - Accent3 2 4 4 2 2 3" xfId="23339" xr:uid="{00000000-0005-0000-0000-0000CC2A0000}"/>
    <cellStyle name="40% - Accent3 2 4 4 2 3" xfId="8662" xr:uid="{00000000-0005-0000-0000-0000CD2A0000}"/>
    <cellStyle name="40% - Accent3 2 4 4 2 4" xfId="20756" xr:uid="{00000000-0005-0000-0000-0000CE2A0000}"/>
    <cellStyle name="40% - Accent3 2 4 4 3" xfId="8663" xr:uid="{00000000-0005-0000-0000-0000CF2A0000}"/>
    <cellStyle name="40% - Accent3 2 4 4 3 2" xfId="8664" xr:uid="{00000000-0005-0000-0000-0000D02A0000}"/>
    <cellStyle name="40% - Accent3 2 4 4 3 3" xfId="22049" xr:uid="{00000000-0005-0000-0000-0000D12A0000}"/>
    <cellStyle name="40% - Accent3 2 4 4 4" xfId="8665" xr:uid="{00000000-0005-0000-0000-0000D22A0000}"/>
    <cellStyle name="40% - Accent3 2 4 4 5" xfId="19462" xr:uid="{00000000-0005-0000-0000-0000D32A0000}"/>
    <cellStyle name="40% - Accent3 2 4 5" xfId="8666" xr:uid="{00000000-0005-0000-0000-0000D42A0000}"/>
    <cellStyle name="40% - Accent3 2 4 5 2" xfId="8667" xr:uid="{00000000-0005-0000-0000-0000D52A0000}"/>
    <cellStyle name="40% - Accent3 2 4 5 2 2" xfId="8668" xr:uid="{00000000-0005-0000-0000-0000D62A0000}"/>
    <cellStyle name="40% - Accent3 2 4 5 2 3" xfId="22694" xr:uid="{00000000-0005-0000-0000-0000D72A0000}"/>
    <cellStyle name="40% - Accent3 2 4 5 3" xfId="8669" xr:uid="{00000000-0005-0000-0000-0000D82A0000}"/>
    <cellStyle name="40% - Accent3 2 4 5 4" xfId="20111" xr:uid="{00000000-0005-0000-0000-0000D92A0000}"/>
    <cellStyle name="40% - Accent3 2 4 6" xfId="8670" xr:uid="{00000000-0005-0000-0000-0000DA2A0000}"/>
    <cellStyle name="40% - Accent3 2 4 6 2" xfId="8671" xr:uid="{00000000-0005-0000-0000-0000DB2A0000}"/>
    <cellStyle name="40% - Accent3 2 4 6 3" xfId="21404" xr:uid="{00000000-0005-0000-0000-0000DC2A0000}"/>
    <cellStyle name="40% - Accent3 2 4 7" xfId="8672" xr:uid="{00000000-0005-0000-0000-0000DD2A0000}"/>
    <cellStyle name="40% - Accent3 2 4 8" xfId="18803" xr:uid="{00000000-0005-0000-0000-0000DE2A0000}"/>
    <cellStyle name="40% - Accent3 2 5" xfId="8673" xr:uid="{00000000-0005-0000-0000-0000DF2A0000}"/>
    <cellStyle name="40% - Accent3 2 5 2" xfId="8674" xr:uid="{00000000-0005-0000-0000-0000E02A0000}"/>
    <cellStyle name="40% - Accent3 2 5 2 2" xfId="8675" xr:uid="{00000000-0005-0000-0000-0000E12A0000}"/>
    <cellStyle name="40% - Accent3 2 5 2 2 2" xfId="8676" xr:uid="{00000000-0005-0000-0000-0000E22A0000}"/>
    <cellStyle name="40% - Accent3 2 5 2 2 2 2" xfId="8677" xr:uid="{00000000-0005-0000-0000-0000E32A0000}"/>
    <cellStyle name="40% - Accent3 2 5 2 2 2 2 2" xfId="8678" xr:uid="{00000000-0005-0000-0000-0000E42A0000}"/>
    <cellStyle name="40% - Accent3 2 5 2 2 2 2 3" xfId="23742" xr:uid="{00000000-0005-0000-0000-0000E52A0000}"/>
    <cellStyle name="40% - Accent3 2 5 2 2 2 3" xfId="8679" xr:uid="{00000000-0005-0000-0000-0000E62A0000}"/>
    <cellStyle name="40% - Accent3 2 5 2 2 2 4" xfId="21159" xr:uid="{00000000-0005-0000-0000-0000E72A0000}"/>
    <cellStyle name="40% - Accent3 2 5 2 2 3" xfId="8680" xr:uid="{00000000-0005-0000-0000-0000E82A0000}"/>
    <cellStyle name="40% - Accent3 2 5 2 2 3 2" xfId="8681" xr:uid="{00000000-0005-0000-0000-0000E92A0000}"/>
    <cellStyle name="40% - Accent3 2 5 2 2 3 3" xfId="22452" xr:uid="{00000000-0005-0000-0000-0000EA2A0000}"/>
    <cellStyle name="40% - Accent3 2 5 2 2 4" xfId="8682" xr:uid="{00000000-0005-0000-0000-0000EB2A0000}"/>
    <cellStyle name="40% - Accent3 2 5 2 2 5" xfId="19865" xr:uid="{00000000-0005-0000-0000-0000EC2A0000}"/>
    <cellStyle name="40% - Accent3 2 5 2 3" xfId="8683" xr:uid="{00000000-0005-0000-0000-0000ED2A0000}"/>
    <cellStyle name="40% - Accent3 2 5 2 3 2" xfId="8684" xr:uid="{00000000-0005-0000-0000-0000EE2A0000}"/>
    <cellStyle name="40% - Accent3 2 5 2 3 2 2" xfId="8685" xr:uid="{00000000-0005-0000-0000-0000EF2A0000}"/>
    <cellStyle name="40% - Accent3 2 5 2 3 2 3" xfId="23097" xr:uid="{00000000-0005-0000-0000-0000F02A0000}"/>
    <cellStyle name="40% - Accent3 2 5 2 3 3" xfId="8686" xr:uid="{00000000-0005-0000-0000-0000F12A0000}"/>
    <cellStyle name="40% - Accent3 2 5 2 3 4" xfId="20514" xr:uid="{00000000-0005-0000-0000-0000F22A0000}"/>
    <cellStyle name="40% - Accent3 2 5 2 4" xfId="8687" xr:uid="{00000000-0005-0000-0000-0000F32A0000}"/>
    <cellStyle name="40% - Accent3 2 5 2 4 2" xfId="8688" xr:uid="{00000000-0005-0000-0000-0000F42A0000}"/>
    <cellStyle name="40% - Accent3 2 5 2 4 3" xfId="21807" xr:uid="{00000000-0005-0000-0000-0000F52A0000}"/>
    <cellStyle name="40% - Accent3 2 5 2 5" xfId="8689" xr:uid="{00000000-0005-0000-0000-0000F62A0000}"/>
    <cellStyle name="40% - Accent3 2 5 2 6" xfId="19217" xr:uid="{00000000-0005-0000-0000-0000F72A0000}"/>
    <cellStyle name="40% - Accent3 2 5 3" xfId="8690" xr:uid="{00000000-0005-0000-0000-0000F82A0000}"/>
    <cellStyle name="40% - Accent3 2 5 3 2" xfId="8691" xr:uid="{00000000-0005-0000-0000-0000F92A0000}"/>
    <cellStyle name="40% - Accent3 2 5 3 2 2" xfId="8692" xr:uid="{00000000-0005-0000-0000-0000FA2A0000}"/>
    <cellStyle name="40% - Accent3 2 5 3 2 2 2" xfId="8693" xr:uid="{00000000-0005-0000-0000-0000FB2A0000}"/>
    <cellStyle name="40% - Accent3 2 5 3 2 2 3" xfId="23420" xr:uid="{00000000-0005-0000-0000-0000FC2A0000}"/>
    <cellStyle name="40% - Accent3 2 5 3 2 3" xfId="8694" xr:uid="{00000000-0005-0000-0000-0000FD2A0000}"/>
    <cellStyle name="40% - Accent3 2 5 3 2 4" xfId="20837" xr:uid="{00000000-0005-0000-0000-0000FE2A0000}"/>
    <cellStyle name="40% - Accent3 2 5 3 3" xfId="8695" xr:uid="{00000000-0005-0000-0000-0000FF2A0000}"/>
    <cellStyle name="40% - Accent3 2 5 3 3 2" xfId="8696" xr:uid="{00000000-0005-0000-0000-0000002B0000}"/>
    <cellStyle name="40% - Accent3 2 5 3 3 3" xfId="22130" xr:uid="{00000000-0005-0000-0000-0000012B0000}"/>
    <cellStyle name="40% - Accent3 2 5 3 4" xfId="8697" xr:uid="{00000000-0005-0000-0000-0000022B0000}"/>
    <cellStyle name="40% - Accent3 2 5 3 5" xfId="19543" xr:uid="{00000000-0005-0000-0000-0000032B0000}"/>
    <cellStyle name="40% - Accent3 2 5 4" xfId="8698" xr:uid="{00000000-0005-0000-0000-0000042B0000}"/>
    <cellStyle name="40% - Accent3 2 5 4 2" xfId="8699" xr:uid="{00000000-0005-0000-0000-0000052B0000}"/>
    <cellStyle name="40% - Accent3 2 5 4 2 2" xfId="8700" xr:uid="{00000000-0005-0000-0000-0000062B0000}"/>
    <cellStyle name="40% - Accent3 2 5 4 2 3" xfId="22775" xr:uid="{00000000-0005-0000-0000-0000072B0000}"/>
    <cellStyle name="40% - Accent3 2 5 4 3" xfId="8701" xr:uid="{00000000-0005-0000-0000-0000082B0000}"/>
    <cellStyle name="40% - Accent3 2 5 4 4" xfId="20192" xr:uid="{00000000-0005-0000-0000-0000092B0000}"/>
    <cellStyle name="40% - Accent3 2 5 5" xfId="8702" xr:uid="{00000000-0005-0000-0000-00000A2B0000}"/>
    <cellStyle name="40% - Accent3 2 5 5 2" xfId="8703" xr:uid="{00000000-0005-0000-0000-00000B2B0000}"/>
    <cellStyle name="40% - Accent3 2 5 5 3" xfId="21485" xr:uid="{00000000-0005-0000-0000-00000C2B0000}"/>
    <cellStyle name="40% - Accent3 2 5 6" xfId="8704" xr:uid="{00000000-0005-0000-0000-00000D2B0000}"/>
    <cellStyle name="40% - Accent3 2 5 7" xfId="18891" xr:uid="{00000000-0005-0000-0000-00000E2B0000}"/>
    <cellStyle name="40% - Accent3 2 6" xfId="8705" xr:uid="{00000000-0005-0000-0000-00000F2B0000}"/>
    <cellStyle name="40% - Accent3 2 6 2" xfId="8706" xr:uid="{00000000-0005-0000-0000-0000102B0000}"/>
    <cellStyle name="40% - Accent3 2 6 2 2" xfId="8707" xr:uid="{00000000-0005-0000-0000-0000112B0000}"/>
    <cellStyle name="40% - Accent3 2 6 2 2 2" xfId="8708" xr:uid="{00000000-0005-0000-0000-0000122B0000}"/>
    <cellStyle name="40% - Accent3 2 6 2 2 2 2" xfId="8709" xr:uid="{00000000-0005-0000-0000-0000132B0000}"/>
    <cellStyle name="40% - Accent3 2 6 2 2 2 3" xfId="23581" xr:uid="{00000000-0005-0000-0000-0000142B0000}"/>
    <cellStyle name="40% - Accent3 2 6 2 2 3" xfId="8710" xr:uid="{00000000-0005-0000-0000-0000152B0000}"/>
    <cellStyle name="40% - Accent3 2 6 2 2 4" xfId="20998" xr:uid="{00000000-0005-0000-0000-0000162B0000}"/>
    <cellStyle name="40% - Accent3 2 6 2 3" xfId="8711" xr:uid="{00000000-0005-0000-0000-0000172B0000}"/>
    <cellStyle name="40% - Accent3 2 6 2 3 2" xfId="8712" xr:uid="{00000000-0005-0000-0000-0000182B0000}"/>
    <cellStyle name="40% - Accent3 2 6 2 3 3" xfId="22291" xr:uid="{00000000-0005-0000-0000-0000192B0000}"/>
    <cellStyle name="40% - Accent3 2 6 2 4" xfId="8713" xr:uid="{00000000-0005-0000-0000-00001A2B0000}"/>
    <cellStyle name="40% - Accent3 2 6 2 5" xfId="19704" xr:uid="{00000000-0005-0000-0000-00001B2B0000}"/>
    <cellStyle name="40% - Accent3 2 6 3" xfId="8714" xr:uid="{00000000-0005-0000-0000-00001C2B0000}"/>
    <cellStyle name="40% - Accent3 2 6 3 2" xfId="8715" xr:uid="{00000000-0005-0000-0000-00001D2B0000}"/>
    <cellStyle name="40% - Accent3 2 6 3 2 2" xfId="8716" xr:uid="{00000000-0005-0000-0000-00001E2B0000}"/>
    <cellStyle name="40% - Accent3 2 6 3 2 3" xfId="22936" xr:uid="{00000000-0005-0000-0000-00001F2B0000}"/>
    <cellStyle name="40% - Accent3 2 6 3 3" xfId="8717" xr:uid="{00000000-0005-0000-0000-0000202B0000}"/>
    <cellStyle name="40% - Accent3 2 6 3 4" xfId="20353" xr:uid="{00000000-0005-0000-0000-0000212B0000}"/>
    <cellStyle name="40% - Accent3 2 6 4" xfId="8718" xr:uid="{00000000-0005-0000-0000-0000222B0000}"/>
    <cellStyle name="40% - Accent3 2 6 4 2" xfId="8719" xr:uid="{00000000-0005-0000-0000-0000232B0000}"/>
    <cellStyle name="40% - Accent3 2 6 4 3" xfId="21646" xr:uid="{00000000-0005-0000-0000-0000242B0000}"/>
    <cellStyle name="40% - Accent3 2 6 5" xfId="8720" xr:uid="{00000000-0005-0000-0000-0000252B0000}"/>
    <cellStyle name="40% - Accent3 2 6 6" xfId="19056" xr:uid="{00000000-0005-0000-0000-0000262B0000}"/>
    <cellStyle name="40% - Accent3 2 7" xfId="8721" xr:uid="{00000000-0005-0000-0000-0000272B0000}"/>
    <cellStyle name="40% - Accent3 2 7 2" xfId="8722" xr:uid="{00000000-0005-0000-0000-0000282B0000}"/>
    <cellStyle name="40% - Accent3 2 7 2 2" xfId="8723" xr:uid="{00000000-0005-0000-0000-0000292B0000}"/>
    <cellStyle name="40% - Accent3 2 7 2 2 2" xfId="8724" xr:uid="{00000000-0005-0000-0000-00002A2B0000}"/>
    <cellStyle name="40% - Accent3 2 7 2 2 3" xfId="23258" xr:uid="{00000000-0005-0000-0000-00002B2B0000}"/>
    <cellStyle name="40% - Accent3 2 7 2 3" xfId="8725" xr:uid="{00000000-0005-0000-0000-00002C2B0000}"/>
    <cellStyle name="40% - Accent3 2 7 2 4" xfId="20675" xr:uid="{00000000-0005-0000-0000-00002D2B0000}"/>
    <cellStyle name="40% - Accent3 2 7 3" xfId="8726" xr:uid="{00000000-0005-0000-0000-00002E2B0000}"/>
    <cellStyle name="40% - Accent3 2 7 3 2" xfId="8727" xr:uid="{00000000-0005-0000-0000-00002F2B0000}"/>
    <cellStyle name="40% - Accent3 2 7 3 3" xfId="21968" xr:uid="{00000000-0005-0000-0000-0000302B0000}"/>
    <cellStyle name="40% - Accent3 2 7 4" xfId="8728" xr:uid="{00000000-0005-0000-0000-0000312B0000}"/>
    <cellStyle name="40% - Accent3 2 7 5" xfId="19382" xr:uid="{00000000-0005-0000-0000-0000322B0000}"/>
    <cellStyle name="40% - Accent3 2 8" xfId="8729" xr:uid="{00000000-0005-0000-0000-0000332B0000}"/>
    <cellStyle name="40% - Accent3 2 8 2" xfId="8730" xr:uid="{00000000-0005-0000-0000-0000342B0000}"/>
    <cellStyle name="40% - Accent3 2 8 2 2" xfId="8731" xr:uid="{00000000-0005-0000-0000-0000352B0000}"/>
    <cellStyle name="40% - Accent3 2 8 2 3" xfId="22613" xr:uid="{00000000-0005-0000-0000-0000362B0000}"/>
    <cellStyle name="40% - Accent3 2 8 3" xfId="8732" xr:uid="{00000000-0005-0000-0000-0000372B0000}"/>
    <cellStyle name="40% - Accent3 2 8 4" xfId="20030" xr:uid="{00000000-0005-0000-0000-0000382B0000}"/>
    <cellStyle name="40% - Accent3 2 9" xfId="8733" xr:uid="{00000000-0005-0000-0000-0000392B0000}"/>
    <cellStyle name="40% - Accent3 2 9 2" xfId="8734" xr:uid="{00000000-0005-0000-0000-00003A2B0000}"/>
    <cellStyle name="40% - Accent3 2 9 3" xfId="21323" xr:uid="{00000000-0005-0000-0000-00003B2B0000}"/>
    <cellStyle name="40% - Accent3 3" xfId="8735" xr:uid="{00000000-0005-0000-0000-00003C2B0000}"/>
    <cellStyle name="40% - Accent3 3 10" xfId="18711" xr:uid="{00000000-0005-0000-0000-00003D2B0000}"/>
    <cellStyle name="40% - Accent3 3 2" xfId="8736" xr:uid="{00000000-0005-0000-0000-00003E2B0000}"/>
    <cellStyle name="40% - Accent3 3 2 2" xfId="8737" xr:uid="{00000000-0005-0000-0000-00003F2B0000}"/>
    <cellStyle name="40% - Accent3 3 2 2 2" xfId="8738" xr:uid="{00000000-0005-0000-0000-0000402B0000}"/>
    <cellStyle name="40% - Accent3 3 2 2 2 2" xfId="8739" xr:uid="{00000000-0005-0000-0000-0000412B0000}"/>
    <cellStyle name="40% - Accent3 3 2 2 2 2 2" xfId="8740" xr:uid="{00000000-0005-0000-0000-0000422B0000}"/>
    <cellStyle name="40% - Accent3 3 2 2 2 2 2 2" xfId="8741" xr:uid="{00000000-0005-0000-0000-0000432B0000}"/>
    <cellStyle name="40% - Accent3 3 2 2 2 2 2 2 2" xfId="8742" xr:uid="{00000000-0005-0000-0000-0000442B0000}"/>
    <cellStyle name="40% - Accent3 3 2 2 2 2 2 2 2 2" xfId="8743" xr:uid="{00000000-0005-0000-0000-0000452B0000}"/>
    <cellStyle name="40% - Accent3 3 2 2 2 2 2 2 2 3" xfId="23872" xr:uid="{00000000-0005-0000-0000-0000462B0000}"/>
    <cellStyle name="40% - Accent3 3 2 2 2 2 2 2 3" xfId="8744" xr:uid="{00000000-0005-0000-0000-0000472B0000}"/>
    <cellStyle name="40% - Accent3 3 2 2 2 2 2 2 4" xfId="21289" xr:uid="{00000000-0005-0000-0000-0000482B0000}"/>
    <cellStyle name="40% - Accent3 3 2 2 2 2 2 3" xfId="8745" xr:uid="{00000000-0005-0000-0000-0000492B0000}"/>
    <cellStyle name="40% - Accent3 3 2 2 2 2 2 3 2" xfId="8746" xr:uid="{00000000-0005-0000-0000-00004A2B0000}"/>
    <cellStyle name="40% - Accent3 3 2 2 2 2 2 3 3" xfId="22582" xr:uid="{00000000-0005-0000-0000-00004B2B0000}"/>
    <cellStyle name="40% - Accent3 3 2 2 2 2 2 4" xfId="8747" xr:uid="{00000000-0005-0000-0000-00004C2B0000}"/>
    <cellStyle name="40% - Accent3 3 2 2 2 2 2 5" xfId="19995" xr:uid="{00000000-0005-0000-0000-00004D2B0000}"/>
    <cellStyle name="40% - Accent3 3 2 2 2 2 3" xfId="8748" xr:uid="{00000000-0005-0000-0000-00004E2B0000}"/>
    <cellStyle name="40% - Accent3 3 2 2 2 2 3 2" xfId="8749" xr:uid="{00000000-0005-0000-0000-00004F2B0000}"/>
    <cellStyle name="40% - Accent3 3 2 2 2 2 3 2 2" xfId="8750" xr:uid="{00000000-0005-0000-0000-0000502B0000}"/>
    <cellStyle name="40% - Accent3 3 2 2 2 2 3 2 3" xfId="23227" xr:uid="{00000000-0005-0000-0000-0000512B0000}"/>
    <cellStyle name="40% - Accent3 3 2 2 2 2 3 3" xfId="8751" xr:uid="{00000000-0005-0000-0000-0000522B0000}"/>
    <cellStyle name="40% - Accent3 3 2 2 2 2 3 4" xfId="20644" xr:uid="{00000000-0005-0000-0000-0000532B0000}"/>
    <cellStyle name="40% - Accent3 3 2 2 2 2 4" xfId="8752" xr:uid="{00000000-0005-0000-0000-0000542B0000}"/>
    <cellStyle name="40% - Accent3 3 2 2 2 2 4 2" xfId="8753" xr:uid="{00000000-0005-0000-0000-0000552B0000}"/>
    <cellStyle name="40% - Accent3 3 2 2 2 2 4 3" xfId="21937" xr:uid="{00000000-0005-0000-0000-0000562B0000}"/>
    <cellStyle name="40% - Accent3 3 2 2 2 2 5" xfId="8754" xr:uid="{00000000-0005-0000-0000-0000572B0000}"/>
    <cellStyle name="40% - Accent3 3 2 2 2 2 6" xfId="19347" xr:uid="{00000000-0005-0000-0000-0000582B0000}"/>
    <cellStyle name="40% - Accent3 3 2 2 2 3" xfId="8755" xr:uid="{00000000-0005-0000-0000-0000592B0000}"/>
    <cellStyle name="40% - Accent3 3 2 2 2 3 2" xfId="8756" xr:uid="{00000000-0005-0000-0000-00005A2B0000}"/>
    <cellStyle name="40% - Accent3 3 2 2 2 3 2 2" xfId="8757" xr:uid="{00000000-0005-0000-0000-00005B2B0000}"/>
    <cellStyle name="40% - Accent3 3 2 2 2 3 2 2 2" xfId="8758" xr:uid="{00000000-0005-0000-0000-00005C2B0000}"/>
    <cellStyle name="40% - Accent3 3 2 2 2 3 2 2 3" xfId="23550" xr:uid="{00000000-0005-0000-0000-00005D2B0000}"/>
    <cellStyle name="40% - Accent3 3 2 2 2 3 2 3" xfId="8759" xr:uid="{00000000-0005-0000-0000-00005E2B0000}"/>
    <cellStyle name="40% - Accent3 3 2 2 2 3 2 4" xfId="20967" xr:uid="{00000000-0005-0000-0000-00005F2B0000}"/>
    <cellStyle name="40% - Accent3 3 2 2 2 3 3" xfId="8760" xr:uid="{00000000-0005-0000-0000-0000602B0000}"/>
    <cellStyle name="40% - Accent3 3 2 2 2 3 3 2" xfId="8761" xr:uid="{00000000-0005-0000-0000-0000612B0000}"/>
    <cellStyle name="40% - Accent3 3 2 2 2 3 3 3" xfId="22260" xr:uid="{00000000-0005-0000-0000-0000622B0000}"/>
    <cellStyle name="40% - Accent3 3 2 2 2 3 4" xfId="8762" xr:uid="{00000000-0005-0000-0000-0000632B0000}"/>
    <cellStyle name="40% - Accent3 3 2 2 2 3 5" xfId="19673" xr:uid="{00000000-0005-0000-0000-0000642B0000}"/>
    <cellStyle name="40% - Accent3 3 2 2 2 4" xfId="8763" xr:uid="{00000000-0005-0000-0000-0000652B0000}"/>
    <cellStyle name="40% - Accent3 3 2 2 2 4 2" xfId="8764" xr:uid="{00000000-0005-0000-0000-0000662B0000}"/>
    <cellStyle name="40% - Accent3 3 2 2 2 4 2 2" xfId="8765" xr:uid="{00000000-0005-0000-0000-0000672B0000}"/>
    <cellStyle name="40% - Accent3 3 2 2 2 4 2 3" xfId="22905" xr:uid="{00000000-0005-0000-0000-0000682B0000}"/>
    <cellStyle name="40% - Accent3 3 2 2 2 4 3" xfId="8766" xr:uid="{00000000-0005-0000-0000-0000692B0000}"/>
    <cellStyle name="40% - Accent3 3 2 2 2 4 4" xfId="20322" xr:uid="{00000000-0005-0000-0000-00006A2B0000}"/>
    <cellStyle name="40% - Accent3 3 2 2 2 5" xfId="8767" xr:uid="{00000000-0005-0000-0000-00006B2B0000}"/>
    <cellStyle name="40% - Accent3 3 2 2 2 5 2" xfId="8768" xr:uid="{00000000-0005-0000-0000-00006C2B0000}"/>
    <cellStyle name="40% - Accent3 3 2 2 2 5 3" xfId="21615" xr:uid="{00000000-0005-0000-0000-00006D2B0000}"/>
    <cellStyle name="40% - Accent3 3 2 2 2 6" xfId="8769" xr:uid="{00000000-0005-0000-0000-00006E2B0000}"/>
    <cellStyle name="40% - Accent3 3 2 2 2 7" xfId="19021" xr:uid="{00000000-0005-0000-0000-00006F2B0000}"/>
    <cellStyle name="40% - Accent3 3 2 2 3" xfId="8770" xr:uid="{00000000-0005-0000-0000-0000702B0000}"/>
    <cellStyle name="40% - Accent3 3 2 2 3 2" xfId="8771" xr:uid="{00000000-0005-0000-0000-0000712B0000}"/>
    <cellStyle name="40% - Accent3 3 2 2 3 2 2" xfId="8772" xr:uid="{00000000-0005-0000-0000-0000722B0000}"/>
    <cellStyle name="40% - Accent3 3 2 2 3 2 2 2" xfId="8773" xr:uid="{00000000-0005-0000-0000-0000732B0000}"/>
    <cellStyle name="40% - Accent3 3 2 2 3 2 2 2 2" xfId="8774" xr:uid="{00000000-0005-0000-0000-0000742B0000}"/>
    <cellStyle name="40% - Accent3 3 2 2 3 2 2 2 3" xfId="23711" xr:uid="{00000000-0005-0000-0000-0000752B0000}"/>
    <cellStyle name="40% - Accent3 3 2 2 3 2 2 3" xfId="8775" xr:uid="{00000000-0005-0000-0000-0000762B0000}"/>
    <cellStyle name="40% - Accent3 3 2 2 3 2 2 4" xfId="21128" xr:uid="{00000000-0005-0000-0000-0000772B0000}"/>
    <cellStyle name="40% - Accent3 3 2 2 3 2 3" xfId="8776" xr:uid="{00000000-0005-0000-0000-0000782B0000}"/>
    <cellStyle name="40% - Accent3 3 2 2 3 2 3 2" xfId="8777" xr:uid="{00000000-0005-0000-0000-0000792B0000}"/>
    <cellStyle name="40% - Accent3 3 2 2 3 2 3 3" xfId="22421" xr:uid="{00000000-0005-0000-0000-00007A2B0000}"/>
    <cellStyle name="40% - Accent3 3 2 2 3 2 4" xfId="8778" xr:uid="{00000000-0005-0000-0000-00007B2B0000}"/>
    <cellStyle name="40% - Accent3 3 2 2 3 2 5" xfId="19834" xr:uid="{00000000-0005-0000-0000-00007C2B0000}"/>
    <cellStyle name="40% - Accent3 3 2 2 3 3" xfId="8779" xr:uid="{00000000-0005-0000-0000-00007D2B0000}"/>
    <cellStyle name="40% - Accent3 3 2 2 3 3 2" xfId="8780" xr:uid="{00000000-0005-0000-0000-00007E2B0000}"/>
    <cellStyle name="40% - Accent3 3 2 2 3 3 2 2" xfId="8781" xr:uid="{00000000-0005-0000-0000-00007F2B0000}"/>
    <cellStyle name="40% - Accent3 3 2 2 3 3 2 3" xfId="23066" xr:uid="{00000000-0005-0000-0000-0000802B0000}"/>
    <cellStyle name="40% - Accent3 3 2 2 3 3 3" xfId="8782" xr:uid="{00000000-0005-0000-0000-0000812B0000}"/>
    <cellStyle name="40% - Accent3 3 2 2 3 3 4" xfId="20483" xr:uid="{00000000-0005-0000-0000-0000822B0000}"/>
    <cellStyle name="40% - Accent3 3 2 2 3 4" xfId="8783" xr:uid="{00000000-0005-0000-0000-0000832B0000}"/>
    <cellStyle name="40% - Accent3 3 2 2 3 4 2" xfId="8784" xr:uid="{00000000-0005-0000-0000-0000842B0000}"/>
    <cellStyle name="40% - Accent3 3 2 2 3 4 3" xfId="21776" xr:uid="{00000000-0005-0000-0000-0000852B0000}"/>
    <cellStyle name="40% - Accent3 3 2 2 3 5" xfId="8785" xr:uid="{00000000-0005-0000-0000-0000862B0000}"/>
    <cellStyle name="40% - Accent3 3 2 2 3 6" xfId="19186" xr:uid="{00000000-0005-0000-0000-0000872B0000}"/>
    <cellStyle name="40% - Accent3 3 2 2 4" xfId="8786" xr:uid="{00000000-0005-0000-0000-0000882B0000}"/>
    <cellStyle name="40% - Accent3 3 2 2 4 2" xfId="8787" xr:uid="{00000000-0005-0000-0000-0000892B0000}"/>
    <cellStyle name="40% - Accent3 3 2 2 4 2 2" xfId="8788" xr:uid="{00000000-0005-0000-0000-00008A2B0000}"/>
    <cellStyle name="40% - Accent3 3 2 2 4 2 2 2" xfId="8789" xr:uid="{00000000-0005-0000-0000-00008B2B0000}"/>
    <cellStyle name="40% - Accent3 3 2 2 4 2 2 3" xfId="23389" xr:uid="{00000000-0005-0000-0000-00008C2B0000}"/>
    <cellStyle name="40% - Accent3 3 2 2 4 2 3" xfId="8790" xr:uid="{00000000-0005-0000-0000-00008D2B0000}"/>
    <cellStyle name="40% - Accent3 3 2 2 4 2 4" xfId="20806" xr:uid="{00000000-0005-0000-0000-00008E2B0000}"/>
    <cellStyle name="40% - Accent3 3 2 2 4 3" xfId="8791" xr:uid="{00000000-0005-0000-0000-00008F2B0000}"/>
    <cellStyle name="40% - Accent3 3 2 2 4 3 2" xfId="8792" xr:uid="{00000000-0005-0000-0000-0000902B0000}"/>
    <cellStyle name="40% - Accent3 3 2 2 4 3 3" xfId="22099" xr:uid="{00000000-0005-0000-0000-0000912B0000}"/>
    <cellStyle name="40% - Accent3 3 2 2 4 4" xfId="8793" xr:uid="{00000000-0005-0000-0000-0000922B0000}"/>
    <cellStyle name="40% - Accent3 3 2 2 4 5" xfId="19512" xr:uid="{00000000-0005-0000-0000-0000932B0000}"/>
    <cellStyle name="40% - Accent3 3 2 2 5" xfId="8794" xr:uid="{00000000-0005-0000-0000-0000942B0000}"/>
    <cellStyle name="40% - Accent3 3 2 2 5 2" xfId="8795" xr:uid="{00000000-0005-0000-0000-0000952B0000}"/>
    <cellStyle name="40% - Accent3 3 2 2 5 2 2" xfId="8796" xr:uid="{00000000-0005-0000-0000-0000962B0000}"/>
    <cellStyle name="40% - Accent3 3 2 2 5 2 3" xfId="22744" xr:uid="{00000000-0005-0000-0000-0000972B0000}"/>
    <cellStyle name="40% - Accent3 3 2 2 5 3" xfId="8797" xr:uid="{00000000-0005-0000-0000-0000982B0000}"/>
    <cellStyle name="40% - Accent3 3 2 2 5 4" xfId="20161" xr:uid="{00000000-0005-0000-0000-0000992B0000}"/>
    <cellStyle name="40% - Accent3 3 2 2 6" xfId="8798" xr:uid="{00000000-0005-0000-0000-00009A2B0000}"/>
    <cellStyle name="40% - Accent3 3 2 2 6 2" xfId="8799" xr:uid="{00000000-0005-0000-0000-00009B2B0000}"/>
    <cellStyle name="40% - Accent3 3 2 2 6 3" xfId="21454" xr:uid="{00000000-0005-0000-0000-00009C2B0000}"/>
    <cellStyle name="40% - Accent3 3 2 2 7" xfId="8800" xr:uid="{00000000-0005-0000-0000-00009D2B0000}"/>
    <cellStyle name="40% - Accent3 3 2 2 8" xfId="18856" xr:uid="{00000000-0005-0000-0000-00009E2B0000}"/>
    <cellStyle name="40% - Accent3 3 2 3" xfId="8801" xr:uid="{00000000-0005-0000-0000-00009F2B0000}"/>
    <cellStyle name="40% - Accent3 3 2 3 2" xfId="8802" xr:uid="{00000000-0005-0000-0000-0000A02B0000}"/>
    <cellStyle name="40% - Accent3 3 2 3 2 2" xfId="8803" xr:uid="{00000000-0005-0000-0000-0000A12B0000}"/>
    <cellStyle name="40% - Accent3 3 2 3 2 2 2" xfId="8804" xr:uid="{00000000-0005-0000-0000-0000A22B0000}"/>
    <cellStyle name="40% - Accent3 3 2 3 2 2 2 2" xfId="8805" xr:uid="{00000000-0005-0000-0000-0000A32B0000}"/>
    <cellStyle name="40% - Accent3 3 2 3 2 2 2 2 2" xfId="8806" xr:uid="{00000000-0005-0000-0000-0000A42B0000}"/>
    <cellStyle name="40% - Accent3 3 2 3 2 2 2 2 3" xfId="23792" xr:uid="{00000000-0005-0000-0000-0000A52B0000}"/>
    <cellStyle name="40% - Accent3 3 2 3 2 2 2 3" xfId="8807" xr:uid="{00000000-0005-0000-0000-0000A62B0000}"/>
    <cellStyle name="40% - Accent3 3 2 3 2 2 2 4" xfId="21209" xr:uid="{00000000-0005-0000-0000-0000A72B0000}"/>
    <cellStyle name="40% - Accent3 3 2 3 2 2 3" xfId="8808" xr:uid="{00000000-0005-0000-0000-0000A82B0000}"/>
    <cellStyle name="40% - Accent3 3 2 3 2 2 3 2" xfId="8809" xr:uid="{00000000-0005-0000-0000-0000A92B0000}"/>
    <cellStyle name="40% - Accent3 3 2 3 2 2 3 3" xfId="22502" xr:uid="{00000000-0005-0000-0000-0000AA2B0000}"/>
    <cellStyle name="40% - Accent3 3 2 3 2 2 4" xfId="8810" xr:uid="{00000000-0005-0000-0000-0000AB2B0000}"/>
    <cellStyle name="40% - Accent3 3 2 3 2 2 5" xfId="19915" xr:uid="{00000000-0005-0000-0000-0000AC2B0000}"/>
    <cellStyle name="40% - Accent3 3 2 3 2 3" xfId="8811" xr:uid="{00000000-0005-0000-0000-0000AD2B0000}"/>
    <cellStyle name="40% - Accent3 3 2 3 2 3 2" xfId="8812" xr:uid="{00000000-0005-0000-0000-0000AE2B0000}"/>
    <cellStyle name="40% - Accent3 3 2 3 2 3 2 2" xfId="8813" xr:uid="{00000000-0005-0000-0000-0000AF2B0000}"/>
    <cellStyle name="40% - Accent3 3 2 3 2 3 2 3" xfId="23147" xr:uid="{00000000-0005-0000-0000-0000B02B0000}"/>
    <cellStyle name="40% - Accent3 3 2 3 2 3 3" xfId="8814" xr:uid="{00000000-0005-0000-0000-0000B12B0000}"/>
    <cellStyle name="40% - Accent3 3 2 3 2 3 4" xfId="20564" xr:uid="{00000000-0005-0000-0000-0000B22B0000}"/>
    <cellStyle name="40% - Accent3 3 2 3 2 4" xfId="8815" xr:uid="{00000000-0005-0000-0000-0000B32B0000}"/>
    <cellStyle name="40% - Accent3 3 2 3 2 4 2" xfId="8816" xr:uid="{00000000-0005-0000-0000-0000B42B0000}"/>
    <cellStyle name="40% - Accent3 3 2 3 2 4 3" xfId="21857" xr:uid="{00000000-0005-0000-0000-0000B52B0000}"/>
    <cellStyle name="40% - Accent3 3 2 3 2 5" xfId="8817" xr:uid="{00000000-0005-0000-0000-0000B62B0000}"/>
    <cellStyle name="40% - Accent3 3 2 3 2 6" xfId="19267" xr:uid="{00000000-0005-0000-0000-0000B72B0000}"/>
    <cellStyle name="40% - Accent3 3 2 3 3" xfId="8818" xr:uid="{00000000-0005-0000-0000-0000B82B0000}"/>
    <cellStyle name="40% - Accent3 3 2 3 3 2" xfId="8819" xr:uid="{00000000-0005-0000-0000-0000B92B0000}"/>
    <cellStyle name="40% - Accent3 3 2 3 3 2 2" xfId="8820" xr:uid="{00000000-0005-0000-0000-0000BA2B0000}"/>
    <cellStyle name="40% - Accent3 3 2 3 3 2 2 2" xfId="8821" xr:uid="{00000000-0005-0000-0000-0000BB2B0000}"/>
    <cellStyle name="40% - Accent3 3 2 3 3 2 2 3" xfId="23470" xr:uid="{00000000-0005-0000-0000-0000BC2B0000}"/>
    <cellStyle name="40% - Accent3 3 2 3 3 2 3" xfId="8822" xr:uid="{00000000-0005-0000-0000-0000BD2B0000}"/>
    <cellStyle name="40% - Accent3 3 2 3 3 2 4" xfId="20887" xr:uid="{00000000-0005-0000-0000-0000BE2B0000}"/>
    <cellStyle name="40% - Accent3 3 2 3 3 3" xfId="8823" xr:uid="{00000000-0005-0000-0000-0000BF2B0000}"/>
    <cellStyle name="40% - Accent3 3 2 3 3 3 2" xfId="8824" xr:uid="{00000000-0005-0000-0000-0000C02B0000}"/>
    <cellStyle name="40% - Accent3 3 2 3 3 3 3" xfId="22180" xr:uid="{00000000-0005-0000-0000-0000C12B0000}"/>
    <cellStyle name="40% - Accent3 3 2 3 3 4" xfId="8825" xr:uid="{00000000-0005-0000-0000-0000C22B0000}"/>
    <cellStyle name="40% - Accent3 3 2 3 3 5" xfId="19593" xr:uid="{00000000-0005-0000-0000-0000C32B0000}"/>
    <cellStyle name="40% - Accent3 3 2 3 4" xfId="8826" xr:uid="{00000000-0005-0000-0000-0000C42B0000}"/>
    <cellStyle name="40% - Accent3 3 2 3 4 2" xfId="8827" xr:uid="{00000000-0005-0000-0000-0000C52B0000}"/>
    <cellStyle name="40% - Accent3 3 2 3 4 2 2" xfId="8828" xr:uid="{00000000-0005-0000-0000-0000C62B0000}"/>
    <cellStyle name="40% - Accent3 3 2 3 4 2 3" xfId="22825" xr:uid="{00000000-0005-0000-0000-0000C72B0000}"/>
    <cellStyle name="40% - Accent3 3 2 3 4 3" xfId="8829" xr:uid="{00000000-0005-0000-0000-0000C82B0000}"/>
    <cellStyle name="40% - Accent3 3 2 3 4 4" xfId="20242" xr:uid="{00000000-0005-0000-0000-0000C92B0000}"/>
    <cellStyle name="40% - Accent3 3 2 3 5" xfId="8830" xr:uid="{00000000-0005-0000-0000-0000CA2B0000}"/>
    <cellStyle name="40% - Accent3 3 2 3 5 2" xfId="8831" xr:uid="{00000000-0005-0000-0000-0000CB2B0000}"/>
    <cellStyle name="40% - Accent3 3 2 3 5 3" xfId="21535" xr:uid="{00000000-0005-0000-0000-0000CC2B0000}"/>
    <cellStyle name="40% - Accent3 3 2 3 6" xfId="8832" xr:uid="{00000000-0005-0000-0000-0000CD2B0000}"/>
    <cellStyle name="40% - Accent3 3 2 3 7" xfId="18941" xr:uid="{00000000-0005-0000-0000-0000CE2B0000}"/>
    <cellStyle name="40% - Accent3 3 2 4" xfId="8833" xr:uid="{00000000-0005-0000-0000-0000CF2B0000}"/>
    <cellStyle name="40% - Accent3 3 2 4 2" xfId="8834" xr:uid="{00000000-0005-0000-0000-0000D02B0000}"/>
    <cellStyle name="40% - Accent3 3 2 4 2 2" xfId="8835" xr:uid="{00000000-0005-0000-0000-0000D12B0000}"/>
    <cellStyle name="40% - Accent3 3 2 4 2 2 2" xfId="8836" xr:uid="{00000000-0005-0000-0000-0000D22B0000}"/>
    <cellStyle name="40% - Accent3 3 2 4 2 2 2 2" xfId="8837" xr:uid="{00000000-0005-0000-0000-0000D32B0000}"/>
    <cellStyle name="40% - Accent3 3 2 4 2 2 2 3" xfId="23631" xr:uid="{00000000-0005-0000-0000-0000D42B0000}"/>
    <cellStyle name="40% - Accent3 3 2 4 2 2 3" xfId="8838" xr:uid="{00000000-0005-0000-0000-0000D52B0000}"/>
    <cellStyle name="40% - Accent3 3 2 4 2 2 4" xfId="21048" xr:uid="{00000000-0005-0000-0000-0000D62B0000}"/>
    <cellStyle name="40% - Accent3 3 2 4 2 3" xfId="8839" xr:uid="{00000000-0005-0000-0000-0000D72B0000}"/>
    <cellStyle name="40% - Accent3 3 2 4 2 3 2" xfId="8840" xr:uid="{00000000-0005-0000-0000-0000D82B0000}"/>
    <cellStyle name="40% - Accent3 3 2 4 2 3 3" xfId="22341" xr:uid="{00000000-0005-0000-0000-0000D92B0000}"/>
    <cellStyle name="40% - Accent3 3 2 4 2 4" xfId="8841" xr:uid="{00000000-0005-0000-0000-0000DA2B0000}"/>
    <cellStyle name="40% - Accent3 3 2 4 2 5" xfId="19754" xr:uid="{00000000-0005-0000-0000-0000DB2B0000}"/>
    <cellStyle name="40% - Accent3 3 2 4 3" xfId="8842" xr:uid="{00000000-0005-0000-0000-0000DC2B0000}"/>
    <cellStyle name="40% - Accent3 3 2 4 3 2" xfId="8843" xr:uid="{00000000-0005-0000-0000-0000DD2B0000}"/>
    <cellStyle name="40% - Accent3 3 2 4 3 2 2" xfId="8844" xr:uid="{00000000-0005-0000-0000-0000DE2B0000}"/>
    <cellStyle name="40% - Accent3 3 2 4 3 2 3" xfId="22986" xr:uid="{00000000-0005-0000-0000-0000DF2B0000}"/>
    <cellStyle name="40% - Accent3 3 2 4 3 3" xfId="8845" xr:uid="{00000000-0005-0000-0000-0000E02B0000}"/>
    <cellStyle name="40% - Accent3 3 2 4 3 4" xfId="20403" xr:uid="{00000000-0005-0000-0000-0000E12B0000}"/>
    <cellStyle name="40% - Accent3 3 2 4 4" xfId="8846" xr:uid="{00000000-0005-0000-0000-0000E22B0000}"/>
    <cellStyle name="40% - Accent3 3 2 4 4 2" xfId="8847" xr:uid="{00000000-0005-0000-0000-0000E32B0000}"/>
    <cellStyle name="40% - Accent3 3 2 4 4 3" xfId="21696" xr:uid="{00000000-0005-0000-0000-0000E42B0000}"/>
    <cellStyle name="40% - Accent3 3 2 4 5" xfId="8848" xr:uid="{00000000-0005-0000-0000-0000E52B0000}"/>
    <cellStyle name="40% - Accent3 3 2 4 6" xfId="19106" xr:uid="{00000000-0005-0000-0000-0000E62B0000}"/>
    <cellStyle name="40% - Accent3 3 2 5" xfId="8849" xr:uid="{00000000-0005-0000-0000-0000E72B0000}"/>
    <cellStyle name="40% - Accent3 3 2 5 2" xfId="8850" xr:uid="{00000000-0005-0000-0000-0000E82B0000}"/>
    <cellStyle name="40% - Accent3 3 2 5 2 2" xfId="8851" xr:uid="{00000000-0005-0000-0000-0000E92B0000}"/>
    <cellStyle name="40% - Accent3 3 2 5 2 2 2" xfId="8852" xr:uid="{00000000-0005-0000-0000-0000EA2B0000}"/>
    <cellStyle name="40% - Accent3 3 2 5 2 2 3" xfId="23308" xr:uid="{00000000-0005-0000-0000-0000EB2B0000}"/>
    <cellStyle name="40% - Accent3 3 2 5 2 3" xfId="8853" xr:uid="{00000000-0005-0000-0000-0000EC2B0000}"/>
    <cellStyle name="40% - Accent3 3 2 5 2 4" xfId="20725" xr:uid="{00000000-0005-0000-0000-0000ED2B0000}"/>
    <cellStyle name="40% - Accent3 3 2 5 3" xfId="8854" xr:uid="{00000000-0005-0000-0000-0000EE2B0000}"/>
    <cellStyle name="40% - Accent3 3 2 5 3 2" xfId="8855" xr:uid="{00000000-0005-0000-0000-0000EF2B0000}"/>
    <cellStyle name="40% - Accent3 3 2 5 3 3" xfId="22018" xr:uid="{00000000-0005-0000-0000-0000F02B0000}"/>
    <cellStyle name="40% - Accent3 3 2 5 4" xfId="8856" xr:uid="{00000000-0005-0000-0000-0000F12B0000}"/>
    <cellStyle name="40% - Accent3 3 2 5 5" xfId="19432" xr:uid="{00000000-0005-0000-0000-0000F22B0000}"/>
    <cellStyle name="40% - Accent3 3 2 6" xfId="8857" xr:uid="{00000000-0005-0000-0000-0000F32B0000}"/>
    <cellStyle name="40% - Accent3 3 2 6 2" xfId="8858" xr:uid="{00000000-0005-0000-0000-0000F42B0000}"/>
    <cellStyle name="40% - Accent3 3 2 6 2 2" xfId="8859" xr:uid="{00000000-0005-0000-0000-0000F52B0000}"/>
    <cellStyle name="40% - Accent3 3 2 6 2 3" xfId="22663" xr:uid="{00000000-0005-0000-0000-0000F62B0000}"/>
    <cellStyle name="40% - Accent3 3 2 6 3" xfId="8860" xr:uid="{00000000-0005-0000-0000-0000F72B0000}"/>
    <cellStyle name="40% - Accent3 3 2 6 4" xfId="20080" xr:uid="{00000000-0005-0000-0000-0000F82B0000}"/>
    <cellStyle name="40% - Accent3 3 2 7" xfId="8861" xr:uid="{00000000-0005-0000-0000-0000F92B0000}"/>
    <cellStyle name="40% - Accent3 3 2 7 2" xfId="8862" xr:uid="{00000000-0005-0000-0000-0000FA2B0000}"/>
    <cellStyle name="40% - Accent3 3 2 7 3" xfId="21373" xr:uid="{00000000-0005-0000-0000-0000FB2B0000}"/>
    <cellStyle name="40% - Accent3 3 2 8" xfId="8863" xr:uid="{00000000-0005-0000-0000-0000FC2B0000}"/>
    <cellStyle name="40% - Accent3 3 2 9" xfId="18759" xr:uid="{00000000-0005-0000-0000-0000FD2B0000}"/>
    <cellStyle name="40% - Accent3 3 3" xfId="8864" xr:uid="{00000000-0005-0000-0000-0000FE2B0000}"/>
    <cellStyle name="40% - Accent3 3 3 2" xfId="8865" xr:uid="{00000000-0005-0000-0000-0000FF2B0000}"/>
    <cellStyle name="40% - Accent3 3 3 2 2" xfId="8866" xr:uid="{00000000-0005-0000-0000-0000002C0000}"/>
    <cellStyle name="40% - Accent3 3 3 2 2 2" xfId="8867" xr:uid="{00000000-0005-0000-0000-0000012C0000}"/>
    <cellStyle name="40% - Accent3 3 3 2 2 2 2" xfId="8868" xr:uid="{00000000-0005-0000-0000-0000022C0000}"/>
    <cellStyle name="40% - Accent3 3 3 2 2 2 2 2" xfId="8869" xr:uid="{00000000-0005-0000-0000-0000032C0000}"/>
    <cellStyle name="40% - Accent3 3 3 2 2 2 2 2 2" xfId="8870" xr:uid="{00000000-0005-0000-0000-0000042C0000}"/>
    <cellStyle name="40% - Accent3 3 3 2 2 2 2 2 3" xfId="23832" xr:uid="{00000000-0005-0000-0000-0000052C0000}"/>
    <cellStyle name="40% - Accent3 3 3 2 2 2 2 3" xfId="8871" xr:uid="{00000000-0005-0000-0000-0000062C0000}"/>
    <cellStyle name="40% - Accent3 3 3 2 2 2 2 4" xfId="21249" xr:uid="{00000000-0005-0000-0000-0000072C0000}"/>
    <cellStyle name="40% - Accent3 3 3 2 2 2 3" xfId="8872" xr:uid="{00000000-0005-0000-0000-0000082C0000}"/>
    <cellStyle name="40% - Accent3 3 3 2 2 2 3 2" xfId="8873" xr:uid="{00000000-0005-0000-0000-0000092C0000}"/>
    <cellStyle name="40% - Accent3 3 3 2 2 2 3 3" xfId="22542" xr:uid="{00000000-0005-0000-0000-00000A2C0000}"/>
    <cellStyle name="40% - Accent3 3 3 2 2 2 4" xfId="8874" xr:uid="{00000000-0005-0000-0000-00000B2C0000}"/>
    <cellStyle name="40% - Accent3 3 3 2 2 2 5" xfId="19955" xr:uid="{00000000-0005-0000-0000-00000C2C0000}"/>
    <cellStyle name="40% - Accent3 3 3 2 2 3" xfId="8875" xr:uid="{00000000-0005-0000-0000-00000D2C0000}"/>
    <cellStyle name="40% - Accent3 3 3 2 2 3 2" xfId="8876" xr:uid="{00000000-0005-0000-0000-00000E2C0000}"/>
    <cellStyle name="40% - Accent3 3 3 2 2 3 2 2" xfId="8877" xr:uid="{00000000-0005-0000-0000-00000F2C0000}"/>
    <cellStyle name="40% - Accent3 3 3 2 2 3 2 3" xfId="23187" xr:uid="{00000000-0005-0000-0000-0000102C0000}"/>
    <cellStyle name="40% - Accent3 3 3 2 2 3 3" xfId="8878" xr:uid="{00000000-0005-0000-0000-0000112C0000}"/>
    <cellStyle name="40% - Accent3 3 3 2 2 3 4" xfId="20604" xr:uid="{00000000-0005-0000-0000-0000122C0000}"/>
    <cellStyle name="40% - Accent3 3 3 2 2 4" xfId="8879" xr:uid="{00000000-0005-0000-0000-0000132C0000}"/>
    <cellStyle name="40% - Accent3 3 3 2 2 4 2" xfId="8880" xr:uid="{00000000-0005-0000-0000-0000142C0000}"/>
    <cellStyle name="40% - Accent3 3 3 2 2 4 3" xfId="21897" xr:uid="{00000000-0005-0000-0000-0000152C0000}"/>
    <cellStyle name="40% - Accent3 3 3 2 2 5" xfId="8881" xr:uid="{00000000-0005-0000-0000-0000162C0000}"/>
    <cellStyle name="40% - Accent3 3 3 2 2 6" xfId="19307" xr:uid="{00000000-0005-0000-0000-0000172C0000}"/>
    <cellStyle name="40% - Accent3 3 3 2 3" xfId="8882" xr:uid="{00000000-0005-0000-0000-0000182C0000}"/>
    <cellStyle name="40% - Accent3 3 3 2 3 2" xfId="8883" xr:uid="{00000000-0005-0000-0000-0000192C0000}"/>
    <cellStyle name="40% - Accent3 3 3 2 3 2 2" xfId="8884" xr:uid="{00000000-0005-0000-0000-00001A2C0000}"/>
    <cellStyle name="40% - Accent3 3 3 2 3 2 2 2" xfId="8885" xr:uid="{00000000-0005-0000-0000-00001B2C0000}"/>
    <cellStyle name="40% - Accent3 3 3 2 3 2 2 3" xfId="23510" xr:uid="{00000000-0005-0000-0000-00001C2C0000}"/>
    <cellStyle name="40% - Accent3 3 3 2 3 2 3" xfId="8886" xr:uid="{00000000-0005-0000-0000-00001D2C0000}"/>
    <cellStyle name="40% - Accent3 3 3 2 3 2 4" xfId="20927" xr:uid="{00000000-0005-0000-0000-00001E2C0000}"/>
    <cellStyle name="40% - Accent3 3 3 2 3 3" xfId="8887" xr:uid="{00000000-0005-0000-0000-00001F2C0000}"/>
    <cellStyle name="40% - Accent3 3 3 2 3 3 2" xfId="8888" xr:uid="{00000000-0005-0000-0000-0000202C0000}"/>
    <cellStyle name="40% - Accent3 3 3 2 3 3 3" xfId="22220" xr:uid="{00000000-0005-0000-0000-0000212C0000}"/>
    <cellStyle name="40% - Accent3 3 3 2 3 4" xfId="8889" xr:uid="{00000000-0005-0000-0000-0000222C0000}"/>
    <cellStyle name="40% - Accent3 3 3 2 3 5" xfId="19633" xr:uid="{00000000-0005-0000-0000-0000232C0000}"/>
    <cellStyle name="40% - Accent3 3 3 2 4" xfId="8890" xr:uid="{00000000-0005-0000-0000-0000242C0000}"/>
    <cellStyle name="40% - Accent3 3 3 2 4 2" xfId="8891" xr:uid="{00000000-0005-0000-0000-0000252C0000}"/>
    <cellStyle name="40% - Accent3 3 3 2 4 2 2" xfId="8892" xr:uid="{00000000-0005-0000-0000-0000262C0000}"/>
    <cellStyle name="40% - Accent3 3 3 2 4 2 3" xfId="22865" xr:uid="{00000000-0005-0000-0000-0000272C0000}"/>
    <cellStyle name="40% - Accent3 3 3 2 4 3" xfId="8893" xr:uid="{00000000-0005-0000-0000-0000282C0000}"/>
    <cellStyle name="40% - Accent3 3 3 2 4 4" xfId="20282" xr:uid="{00000000-0005-0000-0000-0000292C0000}"/>
    <cellStyle name="40% - Accent3 3 3 2 5" xfId="8894" xr:uid="{00000000-0005-0000-0000-00002A2C0000}"/>
    <cellStyle name="40% - Accent3 3 3 2 5 2" xfId="8895" xr:uid="{00000000-0005-0000-0000-00002B2C0000}"/>
    <cellStyle name="40% - Accent3 3 3 2 5 3" xfId="21575" xr:uid="{00000000-0005-0000-0000-00002C2C0000}"/>
    <cellStyle name="40% - Accent3 3 3 2 6" xfId="8896" xr:uid="{00000000-0005-0000-0000-00002D2C0000}"/>
    <cellStyle name="40% - Accent3 3 3 2 7" xfId="18981" xr:uid="{00000000-0005-0000-0000-00002E2C0000}"/>
    <cellStyle name="40% - Accent3 3 3 3" xfId="8897" xr:uid="{00000000-0005-0000-0000-00002F2C0000}"/>
    <cellStyle name="40% - Accent3 3 3 3 2" xfId="8898" xr:uid="{00000000-0005-0000-0000-0000302C0000}"/>
    <cellStyle name="40% - Accent3 3 3 3 2 2" xfId="8899" xr:uid="{00000000-0005-0000-0000-0000312C0000}"/>
    <cellStyle name="40% - Accent3 3 3 3 2 2 2" xfId="8900" xr:uid="{00000000-0005-0000-0000-0000322C0000}"/>
    <cellStyle name="40% - Accent3 3 3 3 2 2 2 2" xfId="8901" xr:uid="{00000000-0005-0000-0000-0000332C0000}"/>
    <cellStyle name="40% - Accent3 3 3 3 2 2 2 3" xfId="23671" xr:uid="{00000000-0005-0000-0000-0000342C0000}"/>
    <cellStyle name="40% - Accent3 3 3 3 2 2 3" xfId="8902" xr:uid="{00000000-0005-0000-0000-0000352C0000}"/>
    <cellStyle name="40% - Accent3 3 3 3 2 2 4" xfId="21088" xr:uid="{00000000-0005-0000-0000-0000362C0000}"/>
    <cellStyle name="40% - Accent3 3 3 3 2 3" xfId="8903" xr:uid="{00000000-0005-0000-0000-0000372C0000}"/>
    <cellStyle name="40% - Accent3 3 3 3 2 3 2" xfId="8904" xr:uid="{00000000-0005-0000-0000-0000382C0000}"/>
    <cellStyle name="40% - Accent3 3 3 3 2 3 3" xfId="22381" xr:uid="{00000000-0005-0000-0000-0000392C0000}"/>
    <cellStyle name="40% - Accent3 3 3 3 2 4" xfId="8905" xr:uid="{00000000-0005-0000-0000-00003A2C0000}"/>
    <cellStyle name="40% - Accent3 3 3 3 2 5" xfId="19794" xr:uid="{00000000-0005-0000-0000-00003B2C0000}"/>
    <cellStyle name="40% - Accent3 3 3 3 3" xfId="8906" xr:uid="{00000000-0005-0000-0000-00003C2C0000}"/>
    <cellStyle name="40% - Accent3 3 3 3 3 2" xfId="8907" xr:uid="{00000000-0005-0000-0000-00003D2C0000}"/>
    <cellStyle name="40% - Accent3 3 3 3 3 2 2" xfId="8908" xr:uid="{00000000-0005-0000-0000-00003E2C0000}"/>
    <cellStyle name="40% - Accent3 3 3 3 3 2 3" xfId="23026" xr:uid="{00000000-0005-0000-0000-00003F2C0000}"/>
    <cellStyle name="40% - Accent3 3 3 3 3 3" xfId="8909" xr:uid="{00000000-0005-0000-0000-0000402C0000}"/>
    <cellStyle name="40% - Accent3 3 3 3 3 4" xfId="20443" xr:uid="{00000000-0005-0000-0000-0000412C0000}"/>
    <cellStyle name="40% - Accent3 3 3 3 4" xfId="8910" xr:uid="{00000000-0005-0000-0000-0000422C0000}"/>
    <cellStyle name="40% - Accent3 3 3 3 4 2" xfId="8911" xr:uid="{00000000-0005-0000-0000-0000432C0000}"/>
    <cellStyle name="40% - Accent3 3 3 3 4 3" xfId="21736" xr:uid="{00000000-0005-0000-0000-0000442C0000}"/>
    <cellStyle name="40% - Accent3 3 3 3 5" xfId="8912" xr:uid="{00000000-0005-0000-0000-0000452C0000}"/>
    <cellStyle name="40% - Accent3 3 3 3 6" xfId="19146" xr:uid="{00000000-0005-0000-0000-0000462C0000}"/>
    <cellStyle name="40% - Accent3 3 3 4" xfId="8913" xr:uid="{00000000-0005-0000-0000-0000472C0000}"/>
    <cellStyle name="40% - Accent3 3 3 4 2" xfId="8914" xr:uid="{00000000-0005-0000-0000-0000482C0000}"/>
    <cellStyle name="40% - Accent3 3 3 4 2 2" xfId="8915" xr:uid="{00000000-0005-0000-0000-0000492C0000}"/>
    <cellStyle name="40% - Accent3 3 3 4 2 2 2" xfId="8916" xr:uid="{00000000-0005-0000-0000-00004A2C0000}"/>
    <cellStyle name="40% - Accent3 3 3 4 2 2 3" xfId="23349" xr:uid="{00000000-0005-0000-0000-00004B2C0000}"/>
    <cellStyle name="40% - Accent3 3 3 4 2 3" xfId="8917" xr:uid="{00000000-0005-0000-0000-00004C2C0000}"/>
    <cellStyle name="40% - Accent3 3 3 4 2 4" xfId="20766" xr:uid="{00000000-0005-0000-0000-00004D2C0000}"/>
    <cellStyle name="40% - Accent3 3 3 4 3" xfId="8918" xr:uid="{00000000-0005-0000-0000-00004E2C0000}"/>
    <cellStyle name="40% - Accent3 3 3 4 3 2" xfId="8919" xr:uid="{00000000-0005-0000-0000-00004F2C0000}"/>
    <cellStyle name="40% - Accent3 3 3 4 3 3" xfId="22059" xr:uid="{00000000-0005-0000-0000-0000502C0000}"/>
    <cellStyle name="40% - Accent3 3 3 4 4" xfId="8920" xr:uid="{00000000-0005-0000-0000-0000512C0000}"/>
    <cellStyle name="40% - Accent3 3 3 4 5" xfId="19472" xr:uid="{00000000-0005-0000-0000-0000522C0000}"/>
    <cellStyle name="40% - Accent3 3 3 5" xfId="8921" xr:uid="{00000000-0005-0000-0000-0000532C0000}"/>
    <cellStyle name="40% - Accent3 3 3 5 2" xfId="8922" xr:uid="{00000000-0005-0000-0000-0000542C0000}"/>
    <cellStyle name="40% - Accent3 3 3 5 2 2" xfId="8923" xr:uid="{00000000-0005-0000-0000-0000552C0000}"/>
    <cellStyle name="40% - Accent3 3 3 5 2 3" xfId="22704" xr:uid="{00000000-0005-0000-0000-0000562C0000}"/>
    <cellStyle name="40% - Accent3 3 3 5 3" xfId="8924" xr:uid="{00000000-0005-0000-0000-0000572C0000}"/>
    <cellStyle name="40% - Accent3 3 3 5 4" xfId="20121" xr:uid="{00000000-0005-0000-0000-0000582C0000}"/>
    <cellStyle name="40% - Accent3 3 3 6" xfId="8925" xr:uid="{00000000-0005-0000-0000-0000592C0000}"/>
    <cellStyle name="40% - Accent3 3 3 6 2" xfId="8926" xr:uid="{00000000-0005-0000-0000-00005A2C0000}"/>
    <cellStyle name="40% - Accent3 3 3 6 3" xfId="21414" xr:uid="{00000000-0005-0000-0000-00005B2C0000}"/>
    <cellStyle name="40% - Accent3 3 3 7" xfId="8927" xr:uid="{00000000-0005-0000-0000-00005C2C0000}"/>
    <cellStyle name="40% - Accent3 3 3 8" xfId="18814" xr:uid="{00000000-0005-0000-0000-00005D2C0000}"/>
    <cellStyle name="40% - Accent3 3 4" xfId="8928" xr:uid="{00000000-0005-0000-0000-00005E2C0000}"/>
    <cellStyle name="40% - Accent3 3 4 2" xfId="8929" xr:uid="{00000000-0005-0000-0000-00005F2C0000}"/>
    <cellStyle name="40% - Accent3 3 4 2 2" xfId="8930" xr:uid="{00000000-0005-0000-0000-0000602C0000}"/>
    <cellStyle name="40% - Accent3 3 4 2 2 2" xfId="8931" xr:uid="{00000000-0005-0000-0000-0000612C0000}"/>
    <cellStyle name="40% - Accent3 3 4 2 2 2 2" xfId="8932" xr:uid="{00000000-0005-0000-0000-0000622C0000}"/>
    <cellStyle name="40% - Accent3 3 4 2 2 2 2 2" xfId="8933" xr:uid="{00000000-0005-0000-0000-0000632C0000}"/>
    <cellStyle name="40% - Accent3 3 4 2 2 2 2 3" xfId="23752" xr:uid="{00000000-0005-0000-0000-0000642C0000}"/>
    <cellStyle name="40% - Accent3 3 4 2 2 2 3" xfId="8934" xr:uid="{00000000-0005-0000-0000-0000652C0000}"/>
    <cellStyle name="40% - Accent3 3 4 2 2 2 4" xfId="21169" xr:uid="{00000000-0005-0000-0000-0000662C0000}"/>
    <cellStyle name="40% - Accent3 3 4 2 2 3" xfId="8935" xr:uid="{00000000-0005-0000-0000-0000672C0000}"/>
    <cellStyle name="40% - Accent3 3 4 2 2 3 2" xfId="8936" xr:uid="{00000000-0005-0000-0000-0000682C0000}"/>
    <cellStyle name="40% - Accent3 3 4 2 2 3 3" xfId="22462" xr:uid="{00000000-0005-0000-0000-0000692C0000}"/>
    <cellStyle name="40% - Accent3 3 4 2 2 4" xfId="8937" xr:uid="{00000000-0005-0000-0000-00006A2C0000}"/>
    <cellStyle name="40% - Accent3 3 4 2 2 5" xfId="19875" xr:uid="{00000000-0005-0000-0000-00006B2C0000}"/>
    <cellStyle name="40% - Accent3 3 4 2 3" xfId="8938" xr:uid="{00000000-0005-0000-0000-00006C2C0000}"/>
    <cellStyle name="40% - Accent3 3 4 2 3 2" xfId="8939" xr:uid="{00000000-0005-0000-0000-00006D2C0000}"/>
    <cellStyle name="40% - Accent3 3 4 2 3 2 2" xfId="8940" xr:uid="{00000000-0005-0000-0000-00006E2C0000}"/>
    <cellStyle name="40% - Accent3 3 4 2 3 2 3" xfId="23107" xr:uid="{00000000-0005-0000-0000-00006F2C0000}"/>
    <cellStyle name="40% - Accent3 3 4 2 3 3" xfId="8941" xr:uid="{00000000-0005-0000-0000-0000702C0000}"/>
    <cellStyle name="40% - Accent3 3 4 2 3 4" xfId="20524" xr:uid="{00000000-0005-0000-0000-0000712C0000}"/>
    <cellStyle name="40% - Accent3 3 4 2 4" xfId="8942" xr:uid="{00000000-0005-0000-0000-0000722C0000}"/>
    <cellStyle name="40% - Accent3 3 4 2 4 2" xfId="8943" xr:uid="{00000000-0005-0000-0000-0000732C0000}"/>
    <cellStyle name="40% - Accent3 3 4 2 4 3" xfId="21817" xr:uid="{00000000-0005-0000-0000-0000742C0000}"/>
    <cellStyle name="40% - Accent3 3 4 2 5" xfId="8944" xr:uid="{00000000-0005-0000-0000-0000752C0000}"/>
    <cellStyle name="40% - Accent3 3 4 2 6" xfId="19227" xr:uid="{00000000-0005-0000-0000-0000762C0000}"/>
    <cellStyle name="40% - Accent3 3 4 3" xfId="8945" xr:uid="{00000000-0005-0000-0000-0000772C0000}"/>
    <cellStyle name="40% - Accent3 3 4 3 2" xfId="8946" xr:uid="{00000000-0005-0000-0000-0000782C0000}"/>
    <cellStyle name="40% - Accent3 3 4 3 2 2" xfId="8947" xr:uid="{00000000-0005-0000-0000-0000792C0000}"/>
    <cellStyle name="40% - Accent3 3 4 3 2 2 2" xfId="8948" xr:uid="{00000000-0005-0000-0000-00007A2C0000}"/>
    <cellStyle name="40% - Accent3 3 4 3 2 2 3" xfId="23430" xr:uid="{00000000-0005-0000-0000-00007B2C0000}"/>
    <cellStyle name="40% - Accent3 3 4 3 2 3" xfId="8949" xr:uid="{00000000-0005-0000-0000-00007C2C0000}"/>
    <cellStyle name="40% - Accent3 3 4 3 2 4" xfId="20847" xr:uid="{00000000-0005-0000-0000-00007D2C0000}"/>
    <cellStyle name="40% - Accent3 3 4 3 3" xfId="8950" xr:uid="{00000000-0005-0000-0000-00007E2C0000}"/>
    <cellStyle name="40% - Accent3 3 4 3 3 2" xfId="8951" xr:uid="{00000000-0005-0000-0000-00007F2C0000}"/>
    <cellStyle name="40% - Accent3 3 4 3 3 3" xfId="22140" xr:uid="{00000000-0005-0000-0000-0000802C0000}"/>
    <cellStyle name="40% - Accent3 3 4 3 4" xfId="8952" xr:uid="{00000000-0005-0000-0000-0000812C0000}"/>
    <cellStyle name="40% - Accent3 3 4 3 5" xfId="19553" xr:uid="{00000000-0005-0000-0000-0000822C0000}"/>
    <cellStyle name="40% - Accent3 3 4 4" xfId="8953" xr:uid="{00000000-0005-0000-0000-0000832C0000}"/>
    <cellStyle name="40% - Accent3 3 4 4 2" xfId="8954" xr:uid="{00000000-0005-0000-0000-0000842C0000}"/>
    <cellStyle name="40% - Accent3 3 4 4 2 2" xfId="8955" xr:uid="{00000000-0005-0000-0000-0000852C0000}"/>
    <cellStyle name="40% - Accent3 3 4 4 2 3" xfId="22785" xr:uid="{00000000-0005-0000-0000-0000862C0000}"/>
    <cellStyle name="40% - Accent3 3 4 4 3" xfId="8956" xr:uid="{00000000-0005-0000-0000-0000872C0000}"/>
    <cellStyle name="40% - Accent3 3 4 4 4" xfId="20202" xr:uid="{00000000-0005-0000-0000-0000882C0000}"/>
    <cellStyle name="40% - Accent3 3 4 5" xfId="8957" xr:uid="{00000000-0005-0000-0000-0000892C0000}"/>
    <cellStyle name="40% - Accent3 3 4 5 2" xfId="8958" xr:uid="{00000000-0005-0000-0000-00008A2C0000}"/>
    <cellStyle name="40% - Accent3 3 4 5 3" xfId="21495" xr:uid="{00000000-0005-0000-0000-00008B2C0000}"/>
    <cellStyle name="40% - Accent3 3 4 6" xfId="8959" xr:uid="{00000000-0005-0000-0000-00008C2C0000}"/>
    <cellStyle name="40% - Accent3 3 4 7" xfId="18901" xr:uid="{00000000-0005-0000-0000-00008D2C0000}"/>
    <cellStyle name="40% - Accent3 3 5" xfId="8960" xr:uid="{00000000-0005-0000-0000-00008E2C0000}"/>
    <cellStyle name="40% - Accent3 3 5 2" xfId="8961" xr:uid="{00000000-0005-0000-0000-00008F2C0000}"/>
    <cellStyle name="40% - Accent3 3 5 2 2" xfId="8962" xr:uid="{00000000-0005-0000-0000-0000902C0000}"/>
    <cellStyle name="40% - Accent3 3 5 2 2 2" xfId="8963" xr:uid="{00000000-0005-0000-0000-0000912C0000}"/>
    <cellStyle name="40% - Accent3 3 5 2 2 2 2" xfId="8964" xr:uid="{00000000-0005-0000-0000-0000922C0000}"/>
    <cellStyle name="40% - Accent3 3 5 2 2 2 3" xfId="23591" xr:uid="{00000000-0005-0000-0000-0000932C0000}"/>
    <cellStyle name="40% - Accent3 3 5 2 2 3" xfId="8965" xr:uid="{00000000-0005-0000-0000-0000942C0000}"/>
    <cellStyle name="40% - Accent3 3 5 2 2 4" xfId="21008" xr:uid="{00000000-0005-0000-0000-0000952C0000}"/>
    <cellStyle name="40% - Accent3 3 5 2 3" xfId="8966" xr:uid="{00000000-0005-0000-0000-0000962C0000}"/>
    <cellStyle name="40% - Accent3 3 5 2 3 2" xfId="8967" xr:uid="{00000000-0005-0000-0000-0000972C0000}"/>
    <cellStyle name="40% - Accent3 3 5 2 3 3" xfId="22301" xr:uid="{00000000-0005-0000-0000-0000982C0000}"/>
    <cellStyle name="40% - Accent3 3 5 2 4" xfId="8968" xr:uid="{00000000-0005-0000-0000-0000992C0000}"/>
    <cellStyle name="40% - Accent3 3 5 2 5" xfId="19714" xr:uid="{00000000-0005-0000-0000-00009A2C0000}"/>
    <cellStyle name="40% - Accent3 3 5 3" xfId="8969" xr:uid="{00000000-0005-0000-0000-00009B2C0000}"/>
    <cellStyle name="40% - Accent3 3 5 3 2" xfId="8970" xr:uid="{00000000-0005-0000-0000-00009C2C0000}"/>
    <cellStyle name="40% - Accent3 3 5 3 2 2" xfId="8971" xr:uid="{00000000-0005-0000-0000-00009D2C0000}"/>
    <cellStyle name="40% - Accent3 3 5 3 2 3" xfId="22946" xr:uid="{00000000-0005-0000-0000-00009E2C0000}"/>
    <cellStyle name="40% - Accent3 3 5 3 3" xfId="8972" xr:uid="{00000000-0005-0000-0000-00009F2C0000}"/>
    <cellStyle name="40% - Accent3 3 5 3 4" xfId="20363" xr:uid="{00000000-0005-0000-0000-0000A02C0000}"/>
    <cellStyle name="40% - Accent3 3 5 4" xfId="8973" xr:uid="{00000000-0005-0000-0000-0000A12C0000}"/>
    <cellStyle name="40% - Accent3 3 5 4 2" xfId="8974" xr:uid="{00000000-0005-0000-0000-0000A22C0000}"/>
    <cellStyle name="40% - Accent3 3 5 4 3" xfId="21656" xr:uid="{00000000-0005-0000-0000-0000A32C0000}"/>
    <cellStyle name="40% - Accent3 3 5 5" xfId="8975" xr:uid="{00000000-0005-0000-0000-0000A42C0000}"/>
    <cellStyle name="40% - Accent3 3 5 6" xfId="19066" xr:uid="{00000000-0005-0000-0000-0000A52C0000}"/>
    <cellStyle name="40% - Accent3 3 6" xfId="8976" xr:uid="{00000000-0005-0000-0000-0000A62C0000}"/>
    <cellStyle name="40% - Accent3 3 6 2" xfId="8977" xr:uid="{00000000-0005-0000-0000-0000A72C0000}"/>
    <cellStyle name="40% - Accent3 3 6 2 2" xfId="8978" xr:uid="{00000000-0005-0000-0000-0000A82C0000}"/>
    <cellStyle name="40% - Accent3 3 6 2 2 2" xfId="8979" xr:uid="{00000000-0005-0000-0000-0000A92C0000}"/>
    <cellStyle name="40% - Accent3 3 6 2 2 3" xfId="23268" xr:uid="{00000000-0005-0000-0000-0000AA2C0000}"/>
    <cellStyle name="40% - Accent3 3 6 2 3" xfId="8980" xr:uid="{00000000-0005-0000-0000-0000AB2C0000}"/>
    <cellStyle name="40% - Accent3 3 6 2 4" xfId="20685" xr:uid="{00000000-0005-0000-0000-0000AC2C0000}"/>
    <cellStyle name="40% - Accent3 3 6 3" xfId="8981" xr:uid="{00000000-0005-0000-0000-0000AD2C0000}"/>
    <cellStyle name="40% - Accent3 3 6 3 2" xfId="8982" xr:uid="{00000000-0005-0000-0000-0000AE2C0000}"/>
    <cellStyle name="40% - Accent3 3 6 3 3" xfId="21978" xr:uid="{00000000-0005-0000-0000-0000AF2C0000}"/>
    <cellStyle name="40% - Accent3 3 6 4" xfId="8983" xr:uid="{00000000-0005-0000-0000-0000B02C0000}"/>
    <cellStyle name="40% - Accent3 3 6 5" xfId="19392" xr:uid="{00000000-0005-0000-0000-0000B12C0000}"/>
    <cellStyle name="40% - Accent3 3 7" xfId="8984" xr:uid="{00000000-0005-0000-0000-0000B22C0000}"/>
    <cellStyle name="40% - Accent3 3 7 2" xfId="8985" xr:uid="{00000000-0005-0000-0000-0000B32C0000}"/>
    <cellStyle name="40% - Accent3 3 7 2 2" xfId="8986" xr:uid="{00000000-0005-0000-0000-0000B42C0000}"/>
    <cellStyle name="40% - Accent3 3 7 2 3" xfId="22623" xr:uid="{00000000-0005-0000-0000-0000B52C0000}"/>
    <cellStyle name="40% - Accent3 3 7 3" xfId="8987" xr:uid="{00000000-0005-0000-0000-0000B62C0000}"/>
    <cellStyle name="40% - Accent3 3 7 4" xfId="20040" xr:uid="{00000000-0005-0000-0000-0000B72C0000}"/>
    <cellStyle name="40% - Accent3 3 8" xfId="8988" xr:uid="{00000000-0005-0000-0000-0000B82C0000}"/>
    <cellStyle name="40% - Accent3 3 8 2" xfId="8989" xr:uid="{00000000-0005-0000-0000-0000B92C0000}"/>
    <cellStyle name="40% - Accent3 3 8 3" xfId="21333" xr:uid="{00000000-0005-0000-0000-0000BA2C0000}"/>
    <cellStyle name="40% - Accent3 3 9" xfId="8990" xr:uid="{00000000-0005-0000-0000-0000BB2C0000}"/>
    <cellStyle name="40% - Accent3 4" xfId="8991" xr:uid="{00000000-0005-0000-0000-0000BC2C0000}"/>
    <cellStyle name="40% - Accent3 4 2" xfId="8992" xr:uid="{00000000-0005-0000-0000-0000BD2C0000}"/>
    <cellStyle name="40% - Accent3 4 2 2" xfId="8993" xr:uid="{00000000-0005-0000-0000-0000BE2C0000}"/>
    <cellStyle name="40% - Accent3 4 2 2 2" xfId="8994" xr:uid="{00000000-0005-0000-0000-0000BF2C0000}"/>
    <cellStyle name="40% - Accent3 4 2 2 2 2" xfId="8995" xr:uid="{00000000-0005-0000-0000-0000C02C0000}"/>
    <cellStyle name="40% - Accent3 4 2 2 2 2 2" xfId="8996" xr:uid="{00000000-0005-0000-0000-0000C12C0000}"/>
    <cellStyle name="40% - Accent3 4 2 2 2 2 2 2" xfId="8997" xr:uid="{00000000-0005-0000-0000-0000C22C0000}"/>
    <cellStyle name="40% - Accent3 4 2 2 2 2 2 2 2" xfId="8998" xr:uid="{00000000-0005-0000-0000-0000C32C0000}"/>
    <cellStyle name="40% - Accent3 4 2 2 2 2 2 2 3" xfId="23852" xr:uid="{00000000-0005-0000-0000-0000C42C0000}"/>
    <cellStyle name="40% - Accent3 4 2 2 2 2 2 3" xfId="8999" xr:uid="{00000000-0005-0000-0000-0000C52C0000}"/>
    <cellStyle name="40% - Accent3 4 2 2 2 2 2 4" xfId="21269" xr:uid="{00000000-0005-0000-0000-0000C62C0000}"/>
    <cellStyle name="40% - Accent3 4 2 2 2 2 3" xfId="9000" xr:uid="{00000000-0005-0000-0000-0000C72C0000}"/>
    <cellStyle name="40% - Accent3 4 2 2 2 2 3 2" xfId="9001" xr:uid="{00000000-0005-0000-0000-0000C82C0000}"/>
    <cellStyle name="40% - Accent3 4 2 2 2 2 3 3" xfId="22562" xr:uid="{00000000-0005-0000-0000-0000C92C0000}"/>
    <cellStyle name="40% - Accent3 4 2 2 2 2 4" xfId="9002" xr:uid="{00000000-0005-0000-0000-0000CA2C0000}"/>
    <cellStyle name="40% - Accent3 4 2 2 2 2 5" xfId="19975" xr:uid="{00000000-0005-0000-0000-0000CB2C0000}"/>
    <cellStyle name="40% - Accent3 4 2 2 2 3" xfId="9003" xr:uid="{00000000-0005-0000-0000-0000CC2C0000}"/>
    <cellStyle name="40% - Accent3 4 2 2 2 3 2" xfId="9004" xr:uid="{00000000-0005-0000-0000-0000CD2C0000}"/>
    <cellStyle name="40% - Accent3 4 2 2 2 3 2 2" xfId="9005" xr:uid="{00000000-0005-0000-0000-0000CE2C0000}"/>
    <cellStyle name="40% - Accent3 4 2 2 2 3 2 3" xfId="23207" xr:uid="{00000000-0005-0000-0000-0000CF2C0000}"/>
    <cellStyle name="40% - Accent3 4 2 2 2 3 3" xfId="9006" xr:uid="{00000000-0005-0000-0000-0000D02C0000}"/>
    <cellStyle name="40% - Accent3 4 2 2 2 3 4" xfId="20624" xr:uid="{00000000-0005-0000-0000-0000D12C0000}"/>
    <cellStyle name="40% - Accent3 4 2 2 2 4" xfId="9007" xr:uid="{00000000-0005-0000-0000-0000D22C0000}"/>
    <cellStyle name="40% - Accent3 4 2 2 2 4 2" xfId="9008" xr:uid="{00000000-0005-0000-0000-0000D32C0000}"/>
    <cellStyle name="40% - Accent3 4 2 2 2 4 3" xfId="21917" xr:uid="{00000000-0005-0000-0000-0000D42C0000}"/>
    <cellStyle name="40% - Accent3 4 2 2 2 5" xfId="9009" xr:uid="{00000000-0005-0000-0000-0000D52C0000}"/>
    <cellStyle name="40% - Accent3 4 2 2 2 6" xfId="19327" xr:uid="{00000000-0005-0000-0000-0000D62C0000}"/>
    <cellStyle name="40% - Accent3 4 2 2 3" xfId="9010" xr:uid="{00000000-0005-0000-0000-0000D72C0000}"/>
    <cellStyle name="40% - Accent3 4 2 2 3 2" xfId="9011" xr:uid="{00000000-0005-0000-0000-0000D82C0000}"/>
    <cellStyle name="40% - Accent3 4 2 2 3 2 2" xfId="9012" xr:uid="{00000000-0005-0000-0000-0000D92C0000}"/>
    <cellStyle name="40% - Accent3 4 2 2 3 2 2 2" xfId="9013" xr:uid="{00000000-0005-0000-0000-0000DA2C0000}"/>
    <cellStyle name="40% - Accent3 4 2 2 3 2 2 3" xfId="23530" xr:uid="{00000000-0005-0000-0000-0000DB2C0000}"/>
    <cellStyle name="40% - Accent3 4 2 2 3 2 3" xfId="9014" xr:uid="{00000000-0005-0000-0000-0000DC2C0000}"/>
    <cellStyle name="40% - Accent3 4 2 2 3 2 4" xfId="20947" xr:uid="{00000000-0005-0000-0000-0000DD2C0000}"/>
    <cellStyle name="40% - Accent3 4 2 2 3 3" xfId="9015" xr:uid="{00000000-0005-0000-0000-0000DE2C0000}"/>
    <cellStyle name="40% - Accent3 4 2 2 3 3 2" xfId="9016" xr:uid="{00000000-0005-0000-0000-0000DF2C0000}"/>
    <cellStyle name="40% - Accent3 4 2 2 3 3 3" xfId="22240" xr:uid="{00000000-0005-0000-0000-0000E02C0000}"/>
    <cellStyle name="40% - Accent3 4 2 2 3 4" xfId="9017" xr:uid="{00000000-0005-0000-0000-0000E12C0000}"/>
    <cellStyle name="40% - Accent3 4 2 2 3 5" xfId="19653" xr:uid="{00000000-0005-0000-0000-0000E22C0000}"/>
    <cellStyle name="40% - Accent3 4 2 2 4" xfId="9018" xr:uid="{00000000-0005-0000-0000-0000E32C0000}"/>
    <cellStyle name="40% - Accent3 4 2 2 4 2" xfId="9019" xr:uid="{00000000-0005-0000-0000-0000E42C0000}"/>
    <cellStyle name="40% - Accent3 4 2 2 4 2 2" xfId="9020" xr:uid="{00000000-0005-0000-0000-0000E52C0000}"/>
    <cellStyle name="40% - Accent3 4 2 2 4 2 3" xfId="22885" xr:uid="{00000000-0005-0000-0000-0000E62C0000}"/>
    <cellStyle name="40% - Accent3 4 2 2 4 3" xfId="9021" xr:uid="{00000000-0005-0000-0000-0000E72C0000}"/>
    <cellStyle name="40% - Accent3 4 2 2 4 4" xfId="20302" xr:uid="{00000000-0005-0000-0000-0000E82C0000}"/>
    <cellStyle name="40% - Accent3 4 2 2 5" xfId="9022" xr:uid="{00000000-0005-0000-0000-0000E92C0000}"/>
    <cellStyle name="40% - Accent3 4 2 2 5 2" xfId="9023" xr:uid="{00000000-0005-0000-0000-0000EA2C0000}"/>
    <cellStyle name="40% - Accent3 4 2 2 5 3" xfId="21595" xr:uid="{00000000-0005-0000-0000-0000EB2C0000}"/>
    <cellStyle name="40% - Accent3 4 2 2 6" xfId="9024" xr:uid="{00000000-0005-0000-0000-0000EC2C0000}"/>
    <cellStyle name="40% - Accent3 4 2 2 7" xfId="19001" xr:uid="{00000000-0005-0000-0000-0000ED2C0000}"/>
    <cellStyle name="40% - Accent3 4 2 3" xfId="9025" xr:uid="{00000000-0005-0000-0000-0000EE2C0000}"/>
    <cellStyle name="40% - Accent3 4 2 3 2" xfId="9026" xr:uid="{00000000-0005-0000-0000-0000EF2C0000}"/>
    <cellStyle name="40% - Accent3 4 2 3 2 2" xfId="9027" xr:uid="{00000000-0005-0000-0000-0000F02C0000}"/>
    <cellStyle name="40% - Accent3 4 2 3 2 2 2" xfId="9028" xr:uid="{00000000-0005-0000-0000-0000F12C0000}"/>
    <cellStyle name="40% - Accent3 4 2 3 2 2 2 2" xfId="9029" xr:uid="{00000000-0005-0000-0000-0000F22C0000}"/>
    <cellStyle name="40% - Accent3 4 2 3 2 2 2 3" xfId="23691" xr:uid="{00000000-0005-0000-0000-0000F32C0000}"/>
    <cellStyle name="40% - Accent3 4 2 3 2 2 3" xfId="9030" xr:uid="{00000000-0005-0000-0000-0000F42C0000}"/>
    <cellStyle name="40% - Accent3 4 2 3 2 2 4" xfId="21108" xr:uid="{00000000-0005-0000-0000-0000F52C0000}"/>
    <cellStyle name="40% - Accent3 4 2 3 2 3" xfId="9031" xr:uid="{00000000-0005-0000-0000-0000F62C0000}"/>
    <cellStyle name="40% - Accent3 4 2 3 2 3 2" xfId="9032" xr:uid="{00000000-0005-0000-0000-0000F72C0000}"/>
    <cellStyle name="40% - Accent3 4 2 3 2 3 3" xfId="22401" xr:uid="{00000000-0005-0000-0000-0000F82C0000}"/>
    <cellStyle name="40% - Accent3 4 2 3 2 4" xfId="9033" xr:uid="{00000000-0005-0000-0000-0000F92C0000}"/>
    <cellStyle name="40% - Accent3 4 2 3 2 5" xfId="19814" xr:uid="{00000000-0005-0000-0000-0000FA2C0000}"/>
    <cellStyle name="40% - Accent3 4 2 3 3" xfId="9034" xr:uid="{00000000-0005-0000-0000-0000FB2C0000}"/>
    <cellStyle name="40% - Accent3 4 2 3 3 2" xfId="9035" xr:uid="{00000000-0005-0000-0000-0000FC2C0000}"/>
    <cellStyle name="40% - Accent3 4 2 3 3 2 2" xfId="9036" xr:uid="{00000000-0005-0000-0000-0000FD2C0000}"/>
    <cellStyle name="40% - Accent3 4 2 3 3 2 3" xfId="23046" xr:uid="{00000000-0005-0000-0000-0000FE2C0000}"/>
    <cellStyle name="40% - Accent3 4 2 3 3 3" xfId="9037" xr:uid="{00000000-0005-0000-0000-0000FF2C0000}"/>
    <cellStyle name="40% - Accent3 4 2 3 3 4" xfId="20463" xr:uid="{00000000-0005-0000-0000-0000002D0000}"/>
    <cellStyle name="40% - Accent3 4 2 3 4" xfId="9038" xr:uid="{00000000-0005-0000-0000-0000012D0000}"/>
    <cellStyle name="40% - Accent3 4 2 3 4 2" xfId="9039" xr:uid="{00000000-0005-0000-0000-0000022D0000}"/>
    <cellStyle name="40% - Accent3 4 2 3 4 3" xfId="21756" xr:uid="{00000000-0005-0000-0000-0000032D0000}"/>
    <cellStyle name="40% - Accent3 4 2 3 5" xfId="9040" xr:uid="{00000000-0005-0000-0000-0000042D0000}"/>
    <cellStyle name="40% - Accent3 4 2 3 6" xfId="19166" xr:uid="{00000000-0005-0000-0000-0000052D0000}"/>
    <cellStyle name="40% - Accent3 4 2 4" xfId="9041" xr:uid="{00000000-0005-0000-0000-0000062D0000}"/>
    <cellStyle name="40% - Accent3 4 2 4 2" xfId="9042" xr:uid="{00000000-0005-0000-0000-0000072D0000}"/>
    <cellStyle name="40% - Accent3 4 2 4 2 2" xfId="9043" xr:uid="{00000000-0005-0000-0000-0000082D0000}"/>
    <cellStyle name="40% - Accent3 4 2 4 2 2 2" xfId="9044" xr:uid="{00000000-0005-0000-0000-0000092D0000}"/>
    <cellStyle name="40% - Accent3 4 2 4 2 2 3" xfId="23369" xr:uid="{00000000-0005-0000-0000-00000A2D0000}"/>
    <cellStyle name="40% - Accent3 4 2 4 2 3" xfId="9045" xr:uid="{00000000-0005-0000-0000-00000B2D0000}"/>
    <cellStyle name="40% - Accent3 4 2 4 2 4" xfId="20786" xr:uid="{00000000-0005-0000-0000-00000C2D0000}"/>
    <cellStyle name="40% - Accent3 4 2 4 3" xfId="9046" xr:uid="{00000000-0005-0000-0000-00000D2D0000}"/>
    <cellStyle name="40% - Accent3 4 2 4 3 2" xfId="9047" xr:uid="{00000000-0005-0000-0000-00000E2D0000}"/>
    <cellStyle name="40% - Accent3 4 2 4 3 3" xfId="22079" xr:uid="{00000000-0005-0000-0000-00000F2D0000}"/>
    <cellStyle name="40% - Accent3 4 2 4 4" xfId="9048" xr:uid="{00000000-0005-0000-0000-0000102D0000}"/>
    <cellStyle name="40% - Accent3 4 2 4 5" xfId="19492" xr:uid="{00000000-0005-0000-0000-0000112D0000}"/>
    <cellStyle name="40% - Accent3 4 2 5" xfId="9049" xr:uid="{00000000-0005-0000-0000-0000122D0000}"/>
    <cellStyle name="40% - Accent3 4 2 5 2" xfId="9050" xr:uid="{00000000-0005-0000-0000-0000132D0000}"/>
    <cellStyle name="40% - Accent3 4 2 5 2 2" xfId="9051" xr:uid="{00000000-0005-0000-0000-0000142D0000}"/>
    <cellStyle name="40% - Accent3 4 2 5 2 3" xfId="22724" xr:uid="{00000000-0005-0000-0000-0000152D0000}"/>
    <cellStyle name="40% - Accent3 4 2 5 3" xfId="9052" xr:uid="{00000000-0005-0000-0000-0000162D0000}"/>
    <cellStyle name="40% - Accent3 4 2 5 4" xfId="20141" xr:uid="{00000000-0005-0000-0000-0000172D0000}"/>
    <cellStyle name="40% - Accent3 4 2 6" xfId="9053" xr:uid="{00000000-0005-0000-0000-0000182D0000}"/>
    <cellStyle name="40% - Accent3 4 2 6 2" xfId="9054" xr:uid="{00000000-0005-0000-0000-0000192D0000}"/>
    <cellStyle name="40% - Accent3 4 2 6 3" xfId="21434" xr:uid="{00000000-0005-0000-0000-00001A2D0000}"/>
    <cellStyle name="40% - Accent3 4 2 7" xfId="9055" xr:uid="{00000000-0005-0000-0000-00001B2D0000}"/>
    <cellStyle name="40% - Accent3 4 2 8" xfId="18835" xr:uid="{00000000-0005-0000-0000-00001C2D0000}"/>
    <cellStyle name="40% - Accent3 4 3" xfId="9056" xr:uid="{00000000-0005-0000-0000-00001D2D0000}"/>
    <cellStyle name="40% - Accent3 4 3 2" xfId="9057" xr:uid="{00000000-0005-0000-0000-00001E2D0000}"/>
    <cellStyle name="40% - Accent3 4 3 2 2" xfId="9058" xr:uid="{00000000-0005-0000-0000-00001F2D0000}"/>
    <cellStyle name="40% - Accent3 4 3 2 2 2" xfId="9059" xr:uid="{00000000-0005-0000-0000-0000202D0000}"/>
    <cellStyle name="40% - Accent3 4 3 2 2 2 2" xfId="9060" xr:uid="{00000000-0005-0000-0000-0000212D0000}"/>
    <cellStyle name="40% - Accent3 4 3 2 2 2 2 2" xfId="9061" xr:uid="{00000000-0005-0000-0000-0000222D0000}"/>
    <cellStyle name="40% - Accent3 4 3 2 2 2 2 3" xfId="23772" xr:uid="{00000000-0005-0000-0000-0000232D0000}"/>
    <cellStyle name="40% - Accent3 4 3 2 2 2 3" xfId="9062" xr:uid="{00000000-0005-0000-0000-0000242D0000}"/>
    <cellStyle name="40% - Accent3 4 3 2 2 2 4" xfId="21189" xr:uid="{00000000-0005-0000-0000-0000252D0000}"/>
    <cellStyle name="40% - Accent3 4 3 2 2 3" xfId="9063" xr:uid="{00000000-0005-0000-0000-0000262D0000}"/>
    <cellStyle name="40% - Accent3 4 3 2 2 3 2" xfId="9064" xr:uid="{00000000-0005-0000-0000-0000272D0000}"/>
    <cellStyle name="40% - Accent3 4 3 2 2 3 3" xfId="22482" xr:uid="{00000000-0005-0000-0000-0000282D0000}"/>
    <cellStyle name="40% - Accent3 4 3 2 2 4" xfId="9065" xr:uid="{00000000-0005-0000-0000-0000292D0000}"/>
    <cellStyle name="40% - Accent3 4 3 2 2 5" xfId="19895" xr:uid="{00000000-0005-0000-0000-00002A2D0000}"/>
    <cellStyle name="40% - Accent3 4 3 2 3" xfId="9066" xr:uid="{00000000-0005-0000-0000-00002B2D0000}"/>
    <cellStyle name="40% - Accent3 4 3 2 3 2" xfId="9067" xr:uid="{00000000-0005-0000-0000-00002C2D0000}"/>
    <cellStyle name="40% - Accent3 4 3 2 3 2 2" xfId="9068" xr:uid="{00000000-0005-0000-0000-00002D2D0000}"/>
    <cellStyle name="40% - Accent3 4 3 2 3 2 3" xfId="23127" xr:uid="{00000000-0005-0000-0000-00002E2D0000}"/>
    <cellStyle name="40% - Accent3 4 3 2 3 3" xfId="9069" xr:uid="{00000000-0005-0000-0000-00002F2D0000}"/>
    <cellStyle name="40% - Accent3 4 3 2 3 4" xfId="20544" xr:uid="{00000000-0005-0000-0000-0000302D0000}"/>
    <cellStyle name="40% - Accent3 4 3 2 4" xfId="9070" xr:uid="{00000000-0005-0000-0000-0000312D0000}"/>
    <cellStyle name="40% - Accent3 4 3 2 4 2" xfId="9071" xr:uid="{00000000-0005-0000-0000-0000322D0000}"/>
    <cellStyle name="40% - Accent3 4 3 2 4 3" xfId="21837" xr:uid="{00000000-0005-0000-0000-0000332D0000}"/>
    <cellStyle name="40% - Accent3 4 3 2 5" xfId="9072" xr:uid="{00000000-0005-0000-0000-0000342D0000}"/>
    <cellStyle name="40% - Accent3 4 3 2 6" xfId="19247" xr:uid="{00000000-0005-0000-0000-0000352D0000}"/>
    <cellStyle name="40% - Accent3 4 3 3" xfId="9073" xr:uid="{00000000-0005-0000-0000-0000362D0000}"/>
    <cellStyle name="40% - Accent3 4 3 3 2" xfId="9074" xr:uid="{00000000-0005-0000-0000-0000372D0000}"/>
    <cellStyle name="40% - Accent3 4 3 3 2 2" xfId="9075" xr:uid="{00000000-0005-0000-0000-0000382D0000}"/>
    <cellStyle name="40% - Accent3 4 3 3 2 2 2" xfId="9076" xr:uid="{00000000-0005-0000-0000-0000392D0000}"/>
    <cellStyle name="40% - Accent3 4 3 3 2 2 3" xfId="23450" xr:uid="{00000000-0005-0000-0000-00003A2D0000}"/>
    <cellStyle name="40% - Accent3 4 3 3 2 3" xfId="9077" xr:uid="{00000000-0005-0000-0000-00003B2D0000}"/>
    <cellStyle name="40% - Accent3 4 3 3 2 4" xfId="20867" xr:uid="{00000000-0005-0000-0000-00003C2D0000}"/>
    <cellStyle name="40% - Accent3 4 3 3 3" xfId="9078" xr:uid="{00000000-0005-0000-0000-00003D2D0000}"/>
    <cellStyle name="40% - Accent3 4 3 3 3 2" xfId="9079" xr:uid="{00000000-0005-0000-0000-00003E2D0000}"/>
    <cellStyle name="40% - Accent3 4 3 3 3 3" xfId="22160" xr:uid="{00000000-0005-0000-0000-00003F2D0000}"/>
    <cellStyle name="40% - Accent3 4 3 3 4" xfId="9080" xr:uid="{00000000-0005-0000-0000-0000402D0000}"/>
    <cellStyle name="40% - Accent3 4 3 3 5" xfId="19573" xr:uid="{00000000-0005-0000-0000-0000412D0000}"/>
    <cellStyle name="40% - Accent3 4 3 4" xfId="9081" xr:uid="{00000000-0005-0000-0000-0000422D0000}"/>
    <cellStyle name="40% - Accent3 4 3 4 2" xfId="9082" xr:uid="{00000000-0005-0000-0000-0000432D0000}"/>
    <cellStyle name="40% - Accent3 4 3 4 2 2" xfId="9083" xr:uid="{00000000-0005-0000-0000-0000442D0000}"/>
    <cellStyle name="40% - Accent3 4 3 4 2 3" xfId="22805" xr:uid="{00000000-0005-0000-0000-0000452D0000}"/>
    <cellStyle name="40% - Accent3 4 3 4 3" xfId="9084" xr:uid="{00000000-0005-0000-0000-0000462D0000}"/>
    <cellStyle name="40% - Accent3 4 3 4 4" xfId="20222" xr:uid="{00000000-0005-0000-0000-0000472D0000}"/>
    <cellStyle name="40% - Accent3 4 3 5" xfId="9085" xr:uid="{00000000-0005-0000-0000-0000482D0000}"/>
    <cellStyle name="40% - Accent3 4 3 5 2" xfId="9086" xr:uid="{00000000-0005-0000-0000-0000492D0000}"/>
    <cellStyle name="40% - Accent3 4 3 5 3" xfId="21515" xr:uid="{00000000-0005-0000-0000-00004A2D0000}"/>
    <cellStyle name="40% - Accent3 4 3 6" xfId="9087" xr:uid="{00000000-0005-0000-0000-00004B2D0000}"/>
    <cellStyle name="40% - Accent3 4 3 7" xfId="18921" xr:uid="{00000000-0005-0000-0000-00004C2D0000}"/>
    <cellStyle name="40% - Accent3 4 4" xfId="9088" xr:uid="{00000000-0005-0000-0000-00004D2D0000}"/>
    <cellStyle name="40% - Accent3 4 4 2" xfId="9089" xr:uid="{00000000-0005-0000-0000-00004E2D0000}"/>
    <cellStyle name="40% - Accent3 4 4 2 2" xfId="9090" xr:uid="{00000000-0005-0000-0000-00004F2D0000}"/>
    <cellStyle name="40% - Accent3 4 4 2 2 2" xfId="9091" xr:uid="{00000000-0005-0000-0000-0000502D0000}"/>
    <cellStyle name="40% - Accent3 4 4 2 2 2 2" xfId="9092" xr:uid="{00000000-0005-0000-0000-0000512D0000}"/>
    <cellStyle name="40% - Accent3 4 4 2 2 2 3" xfId="23611" xr:uid="{00000000-0005-0000-0000-0000522D0000}"/>
    <cellStyle name="40% - Accent3 4 4 2 2 3" xfId="9093" xr:uid="{00000000-0005-0000-0000-0000532D0000}"/>
    <cellStyle name="40% - Accent3 4 4 2 2 4" xfId="21028" xr:uid="{00000000-0005-0000-0000-0000542D0000}"/>
    <cellStyle name="40% - Accent3 4 4 2 3" xfId="9094" xr:uid="{00000000-0005-0000-0000-0000552D0000}"/>
    <cellStyle name="40% - Accent3 4 4 2 3 2" xfId="9095" xr:uid="{00000000-0005-0000-0000-0000562D0000}"/>
    <cellStyle name="40% - Accent3 4 4 2 3 3" xfId="22321" xr:uid="{00000000-0005-0000-0000-0000572D0000}"/>
    <cellStyle name="40% - Accent3 4 4 2 4" xfId="9096" xr:uid="{00000000-0005-0000-0000-0000582D0000}"/>
    <cellStyle name="40% - Accent3 4 4 2 5" xfId="19734" xr:uid="{00000000-0005-0000-0000-0000592D0000}"/>
    <cellStyle name="40% - Accent3 4 4 3" xfId="9097" xr:uid="{00000000-0005-0000-0000-00005A2D0000}"/>
    <cellStyle name="40% - Accent3 4 4 3 2" xfId="9098" xr:uid="{00000000-0005-0000-0000-00005B2D0000}"/>
    <cellStyle name="40% - Accent3 4 4 3 2 2" xfId="9099" xr:uid="{00000000-0005-0000-0000-00005C2D0000}"/>
    <cellStyle name="40% - Accent3 4 4 3 2 3" xfId="22966" xr:uid="{00000000-0005-0000-0000-00005D2D0000}"/>
    <cellStyle name="40% - Accent3 4 4 3 3" xfId="9100" xr:uid="{00000000-0005-0000-0000-00005E2D0000}"/>
    <cellStyle name="40% - Accent3 4 4 3 4" xfId="20383" xr:uid="{00000000-0005-0000-0000-00005F2D0000}"/>
    <cellStyle name="40% - Accent3 4 4 4" xfId="9101" xr:uid="{00000000-0005-0000-0000-0000602D0000}"/>
    <cellStyle name="40% - Accent3 4 4 4 2" xfId="9102" xr:uid="{00000000-0005-0000-0000-0000612D0000}"/>
    <cellStyle name="40% - Accent3 4 4 4 3" xfId="21676" xr:uid="{00000000-0005-0000-0000-0000622D0000}"/>
    <cellStyle name="40% - Accent3 4 4 5" xfId="9103" xr:uid="{00000000-0005-0000-0000-0000632D0000}"/>
    <cellStyle name="40% - Accent3 4 4 6" xfId="19086" xr:uid="{00000000-0005-0000-0000-0000642D0000}"/>
    <cellStyle name="40% - Accent3 4 5" xfId="9104" xr:uid="{00000000-0005-0000-0000-0000652D0000}"/>
    <cellStyle name="40% - Accent3 4 5 2" xfId="9105" xr:uid="{00000000-0005-0000-0000-0000662D0000}"/>
    <cellStyle name="40% - Accent3 4 5 2 2" xfId="9106" xr:uid="{00000000-0005-0000-0000-0000672D0000}"/>
    <cellStyle name="40% - Accent3 4 5 2 2 2" xfId="9107" xr:uid="{00000000-0005-0000-0000-0000682D0000}"/>
    <cellStyle name="40% - Accent3 4 5 2 2 3" xfId="23288" xr:uid="{00000000-0005-0000-0000-0000692D0000}"/>
    <cellStyle name="40% - Accent3 4 5 2 3" xfId="9108" xr:uid="{00000000-0005-0000-0000-00006A2D0000}"/>
    <cellStyle name="40% - Accent3 4 5 2 4" xfId="20705" xr:uid="{00000000-0005-0000-0000-00006B2D0000}"/>
    <cellStyle name="40% - Accent3 4 5 3" xfId="9109" xr:uid="{00000000-0005-0000-0000-00006C2D0000}"/>
    <cellStyle name="40% - Accent3 4 5 3 2" xfId="9110" xr:uid="{00000000-0005-0000-0000-00006D2D0000}"/>
    <cellStyle name="40% - Accent3 4 5 3 3" xfId="21998" xr:uid="{00000000-0005-0000-0000-00006E2D0000}"/>
    <cellStyle name="40% - Accent3 4 5 4" xfId="9111" xr:uid="{00000000-0005-0000-0000-00006F2D0000}"/>
    <cellStyle name="40% - Accent3 4 5 5" xfId="19412" xr:uid="{00000000-0005-0000-0000-0000702D0000}"/>
    <cellStyle name="40% - Accent3 4 6" xfId="9112" xr:uid="{00000000-0005-0000-0000-0000712D0000}"/>
    <cellStyle name="40% - Accent3 4 6 2" xfId="9113" xr:uid="{00000000-0005-0000-0000-0000722D0000}"/>
    <cellStyle name="40% - Accent3 4 6 2 2" xfId="9114" xr:uid="{00000000-0005-0000-0000-0000732D0000}"/>
    <cellStyle name="40% - Accent3 4 6 2 3" xfId="22643" xr:uid="{00000000-0005-0000-0000-0000742D0000}"/>
    <cellStyle name="40% - Accent3 4 6 3" xfId="9115" xr:uid="{00000000-0005-0000-0000-0000752D0000}"/>
    <cellStyle name="40% - Accent3 4 6 4" xfId="20060" xr:uid="{00000000-0005-0000-0000-0000762D0000}"/>
    <cellStyle name="40% - Accent3 4 7" xfId="9116" xr:uid="{00000000-0005-0000-0000-0000772D0000}"/>
    <cellStyle name="40% - Accent3 4 7 2" xfId="9117" xr:uid="{00000000-0005-0000-0000-0000782D0000}"/>
    <cellStyle name="40% - Accent3 4 7 3" xfId="21353" xr:uid="{00000000-0005-0000-0000-0000792D0000}"/>
    <cellStyle name="40% - Accent3 4 8" xfId="9118" xr:uid="{00000000-0005-0000-0000-00007A2D0000}"/>
    <cellStyle name="40% - Accent3 4 9" xfId="18735" xr:uid="{00000000-0005-0000-0000-00007B2D0000}"/>
    <cellStyle name="40% - Accent3 5" xfId="9119" xr:uid="{00000000-0005-0000-0000-00007C2D0000}"/>
    <cellStyle name="40% - Accent3 5 2" xfId="9120" xr:uid="{00000000-0005-0000-0000-00007D2D0000}"/>
    <cellStyle name="40% - Accent3 5 2 2" xfId="9121" xr:uid="{00000000-0005-0000-0000-00007E2D0000}"/>
    <cellStyle name="40% - Accent3 5 2 2 2" xfId="9122" xr:uid="{00000000-0005-0000-0000-00007F2D0000}"/>
    <cellStyle name="40% - Accent3 5 2 2 2 2" xfId="9123" xr:uid="{00000000-0005-0000-0000-0000802D0000}"/>
    <cellStyle name="40% - Accent3 5 2 2 2 2 2" xfId="9124" xr:uid="{00000000-0005-0000-0000-0000812D0000}"/>
    <cellStyle name="40% - Accent3 5 2 2 2 2 2 2" xfId="9125" xr:uid="{00000000-0005-0000-0000-0000822D0000}"/>
    <cellStyle name="40% - Accent3 5 2 2 2 2 2 3" xfId="23812" xr:uid="{00000000-0005-0000-0000-0000832D0000}"/>
    <cellStyle name="40% - Accent3 5 2 2 2 2 3" xfId="9126" xr:uid="{00000000-0005-0000-0000-0000842D0000}"/>
    <cellStyle name="40% - Accent3 5 2 2 2 2 4" xfId="21229" xr:uid="{00000000-0005-0000-0000-0000852D0000}"/>
    <cellStyle name="40% - Accent3 5 2 2 2 3" xfId="9127" xr:uid="{00000000-0005-0000-0000-0000862D0000}"/>
    <cellStyle name="40% - Accent3 5 2 2 2 3 2" xfId="9128" xr:uid="{00000000-0005-0000-0000-0000872D0000}"/>
    <cellStyle name="40% - Accent3 5 2 2 2 3 3" xfId="22522" xr:uid="{00000000-0005-0000-0000-0000882D0000}"/>
    <cellStyle name="40% - Accent3 5 2 2 2 4" xfId="9129" xr:uid="{00000000-0005-0000-0000-0000892D0000}"/>
    <cellStyle name="40% - Accent3 5 2 2 2 5" xfId="19935" xr:uid="{00000000-0005-0000-0000-00008A2D0000}"/>
    <cellStyle name="40% - Accent3 5 2 2 3" xfId="9130" xr:uid="{00000000-0005-0000-0000-00008B2D0000}"/>
    <cellStyle name="40% - Accent3 5 2 2 3 2" xfId="9131" xr:uid="{00000000-0005-0000-0000-00008C2D0000}"/>
    <cellStyle name="40% - Accent3 5 2 2 3 2 2" xfId="9132" xr:uid="{00000000-0005-0000-0000-00008D2D0000}"/>
    <cellStyle name="40% - Accent3 5 2 2 3 2 3" xfId="23167" xr:uid="{00000000-0005-0000-0000-00008E2D0000}"/>
    <cellStyle name="40% - Accent3 5 2 2 3 3" xfId="9133" xr:uid="{00000000-0005-0000-0000-00008F2D0000}"/>
    <cellStyle name="40% - Accent3 5 2 2 3 4" xfId="20584" xr:uid="{00000000-0005-0000-0000-0000902D0000}"/>
    <cellStyle name="40% - Accent3 5 2 2 4" xfId="9134" xr:uid="{00000000-0005-0000-0000-0000912D0000}"/>
    <cellStyle name="40% - Accent3 5 2 2 4 2" xfId="9135" xr:uid="{00000000-0005-0000-0000-0000922D0000}"/>
    <cellStyle name="40% - Accent3 5 2 2 4 3" xfId="21877" xr:uid="{00000000-0005-0000-0000-0000932D0000}"/>
    <cellStyle name="40% - Accent3 5 2 2 5" xfId="9136" xr:uid="{00000000-0005-0000-0000-0000942D0000}"/>
    <cellStyle name="40% - Accent3 5 2 2 6" xfId="19287" xr:uid="{00000000-0005-0000-0000-0000952D0000}"/>
    <cellStyle name="40% - Accent3 5 2 3" xfId="9137" xr:uid="{00000000-0005-0000-0000-0000962D0000}"/>
    <cellStyle name="40% - Accent3 5 2 3 2" xfId="9138" xr:uid="{00000000-0005-0000-0000-0000972D0000}"/>
    <cellStyle name="40% - Accent3 5 2 3 2 2" xfId="9139" xr:uid="{00000000-0005-0000-0000-0000982D0000}"/>
    <cellStyle name="40% - Accent3 5 2 3 2 2 2" xfId="9140" xr:uid="{00000000-0005-0000-0000-0000992D0000}"/>
    <cellStyle name="40% - Accent3 5 2 3 2 2 3" xfId="23490" xr:uid="{00000000-0005-0000-0000-00009A2D0000}"/>
    <cellStyle name="40% - Accent3 5 2 3 2 3" xfId="9141" xr:uid="{00000000-0005-0000-0000-00009B2D0000}"/>
    <cellStyle name="40% - Accent3 5 2 3 2 4" xfId="20907" xr:uid="{00000000-0005-0000-0000-00009C2D0000}"/>
    <cellStyle name="40% - Accent3 5 2 3 3" xfId="9142" xr:uid="{00000000-0005-0000-0000-00009D2D0000}"/>
    <cellStyle name="40% - Accent3 5 2 3 3 2" xfId="9143" xr:uid="{00000000-0005-0000-0000-00009E2D0000}"/>
    <cellStyle name="40% - Accent3 5 2 3 3 3" xfId="22200" xr:uid="{00000000-0005-0000-0000-00009F2D0000}"/>
    <cellStyle name="40% - Accent3 5 2 3 4" xfId="9144" xr:uid="{00000000-0005-0000-0000-0000A02D0000}"/>
    <cellStyle name="40% - Accent3 5 2 3 5" xfId="19613" xr:uid="{00000000-0005-0000-0000-0000A12D0000}"/>
    <cellStyle name="40% - Accent3 5 2 4" xfId="9145" xr:uid="{00000000-0005-0000-0000-0000A22D0000}"/>
    <cellStyle name="40% - Accent3 5 2 4 2" xfId="9146" xr:uid="{00000000-0005-0000-0000-0000A32D0000}"/>
    <cellStyle name="40% - Accent3 5 2 4 2 2" xfId="9147" xr:uid="{00000000-0005-0000-0000-0000A42D0000}"/>
    <cellStyle name="40% - Accent3 5 2 4 2 3" xfId="22845" xr:uid="{00000000-0005-0000-0000-0000A52D0000}"/>
    <cellStyle name="40% - Accent3 5 2 4 3" xfId="9148" xr:uid="{00000000-0005-0000-0000-0000A62D0000}"/>
    <cellStyle name="40% - Accent3 5 2 4 4" xfId="20262" xr:uid="{00000000-0005-0000-0000-0000A72D0000}"/>
    <cellStyle name="40% - Accent3 5 2 5" xfId="9149" xr:uid="{00000000-0005-0000-0000-0000A82D0000}"/>
    <cellStyle name="40% - Accent3 5 2 5 2" xfId="9150" xr:uid="{00000000-0005-0000-0000-0000A92D0000}"/>
    <cellStyle name="40% - Accent3 5 2 5 3" xfId="21555" xr:uid="{00000000-0005-0000-0000-0000AA2D0000}"/>
    <cellStyle name="40% - Accent3 5 2 6" xfId="9151" xr:uid="{00000000-0005-0000-0000-0000AB2D0000}"/>
    <cellStyle name="40% - Accent3 5 2 7" xfId="18961" xr:uid="{00000000-0005-0000-0000-0000AC2D0000}"/>
    <cellStyle name="40% - Accent3 5 3" xfId="9152" xr:uid="{00000000-0005-0000-0000-0000AD2D0000}"/>
    <cellStyle name="40% - Accent3 5 3 2" xfId="9153" xr:uid="{00000000-0005-0000-0000-0000AE2D0000}"/>
    <cellStyle name="40% - Accent3 5 3 2 2" xfId="9154" xr:uid="{00000000-0005-0000-0000-0000AF2D0000}"/>
    <cellStyle name="40% - Accent3 5 3 2 2 2" xfId="9155" xr:uid="{00000000-0005-0000-0000-0000B02D0000}"/>
    <cellStyle name="40% - Accent3 5 3 2 2 2 2" xfId="9156" xr:uid="{00000000-0005-0000-0000-0000B12D0000}"/>
    <cellStyle name="40% - Accent3 5 3 2 2 2 3" xfId="23651" xr:uid="{00000000-0005-0000-0000-0000B22D0000}"/>
    <cellStyle name="40% - Accent3 5 3 2 2 3" xfId="9157" xr:uid="{00000000-0005-0000-0000-0000B32D0000}"/>
    <cellStyle name="40% - Accent3 5 3 2 2 4" xfId="21068" xr:uid="{00000000-0005-0000-0000-0000B42D0000}"/>
    <cellStyle name="40% - Accent3 5 3 2 3" xfId="9158" xr:uid="{00000000-0005-0000-0000-0000B52D0000}"/>
    <cellStyle name="40% - Accent3 5 3 2 3 2" xfId="9159" xr:uid="{00000000-0005-0000-0000-0000B62D0000}"/>
    <cellStyle name="40% - Accent3 5 3 2 3 3" xfId="22361" xr:uid="{00000000-0005-0000-0000-0000B72D0000}"/>
    <cellStyle name="40% - Accent3 5 3 2 4" xfId="9160" xr:uid="{00000000-0005-0000-0000-0000B82D0000}"/>
    <cellStyle name="40% - Accent3 5 3 2 5" xfId="19774" xr:uid="{00000000-0005-0000-0000-0000B92D0000}"/>
    <cellStyle name="40% - Accent3 5 3 3" xfId="9161" xr:uid="{00000000-0005-0000-0000-0000BA2D0000}"/>
    <cellStyle name="40% - Accent3 5 3 3 2" xfId="9162" xr:uid="{00000000-0005-0000-0000-0000BB2D0000}"/>
    <cellStyle name="40% - Accent3 5 3 3 2 2" xfId="9163" xr:uid="{00000000-0005-0000-0000-0000BC2D0000}"/>
    <cellStyle name="40% - Accent3 5 3 3 2 3" xfId="23006" xr:uid="{00000000-0005-0000-0000-0000BD2D0000}"/>
    <cellStyle name="40% - Accent3 5 3 3 3" xfId="9164" xr:uid="{00000000-0005-0000-0000-0000BE2D0000}"/>
    <cellStyle name="40% - Accent3 5 3 3 4" xfId="20423" xr:uid="{00000000-0005-0000-0000-0000BF2D0000}"/>
    <cellStyle name="40% - Accent3 5 3 4" xfId="9165" xr:uid="{00000000-0005-0000-0000-0000C02D0000}"/>
    <cellStyle name="40% - Accent3 5 3 4 2" xfId="9166" xr:uid="{00000000-0005-0000-0000-0000C12D0000}"/>
    <cellStyle name="40% - Accent3 5 3 4 3" xfId="21716" xr:uid="{00000000-0005-0000-0000-0000C22D0000}"/>
    <cellStyle name="40% - Accent3 5 3 5" xfId="9167" xr:uid="{00000000-0005-0000-0000-0000C32D0000}"/>
    <cellStyle name="40% - Accent3 5 3 6" xfId="19126" xr:uid="{00000000-0005-0000-0000-0000C42D0000}"/>
    <cellStyle name="40% - Accent3 5 4" xfId="9168" xr:uid="{00000000-0005-0000-0000-0000C52D0000}"/>
    <cellStyle name="40% - Accent3 5 4 2" xfId="9169" xr:uid="{00000000-0005-0000-0000-0000C62D0000}"/>
    <cellStyle name="40% - Accent3 5 4 2 2" xfId="9170" xr:uid="{00000000-0005-0000-0000-0000C72D0000}"/>
    <cellStyle name="40% - Accent3 5 4 2 2 2" xfId="9171" xr:uid="{00000000-0005-0000-0000-0000C82D0000}"/>
    <cellStyle name="40% - Accent3 5 4 2 2 3" xfId="23328" xr:uid="{00000000-0005-0000-0000-0000C92D0000}"/>
    <cellStyle name="40% - Accent3 5 4 2 3" xfId="9172" xr:uid="{00000000-0005-0000-0000-0000CA2D0000}"/>
    <cellStyle name="40% - Accent3 5 4 2 4" xfId="20745" xr:uid="{00000000-0005-0000-0000-0000CB2D0000}"/>
    <cellStyle name="40% - Accent3 5 4 3" xfId="9173" xr:uid="{00000000-0005-0000-0000-0000CC2D0000}"/>
    <cellStyle name="40% - Accent3 5 4 3 2" xfId="9174" xr:uid="{00000000-0005-0000-0000-0000CD2D0000}"/>
    <cellStyle name="40% - Accent3 5 4 3 3" xfId="22038" xr:uid="{00000000-0005-0000-0000-0000CE2D0000}"/>
    <cellStyle name="40% - Accent3 5 4 4" xfId="9175" xr:uid="{00000000-0005-0000-0000-0000CF2D0000}"/>
    <cellStyle name="40% - Accent3 5 4 5" xfId="19452" xr:uid="{00000000-0005-0000-0000-0000D02D0000}"/>
    <cellStyle name="40% - Accent3 5 5" xfId="9176" xr:uid="{00000000-0005-0000-0000-0000D12D0000}"/>
    <cellStyle name="40% - Accent3 5 5 2" xfId="9177" xr:uid="{00000000-0005-0000-0000-0000D22D0000}"/>
    <cellStyle name="40% - Accent3 5 5 2 2" xfId="9178" xr:uid="{00000000-0005-0000-0000-0000D32D0000}"/>
    <cellStyle name="40% - Accent3 5 5 2 3" xfId="22683" xr:uid="{00000000-0005-0000-0000-0000D42D0000}"/>
    <cellStyle name="40% - Accent3 5 5 3" xfId="9179" xr:uid="{00000000-0005-0000-0000-0000D52D0000}"/>
    <cellStyle name="40% - Accent3 5 5 4" xfId="20100" xr:uid="{00000000-0005-0000-0000-0000D62D0000}"/>
    <cellStyle name="40% - Accent3 5 6" xfId="9180" xr:uid="{00000000-0005-0000-0000-0000D72D0000}"/>
    <cellStyle name="40% - Accent3 5 6 2" xfId="9181" xr:uid="{00000000-0005-0000-0000-0000D82D0000}"/>
    <cellStyle name="40% - Accent3 5 6 3" xfId="21393" xr:uid="{00000000-0005-0000-0000-0000D92D0000}"/>
    <cellStyle name="40% - Accent3 5 7" xfId="9182" xr:uid="{00000000-0005-0000-0000-0000DA2D0000}"/>
    <cellStyle name="40% - Accent3 5 8" xfId="18788" xr:uid="{00000000-0005-0000-0000-0000DB2D0000}"/>
    <cellStyle name="40% - Accent3 6" xfId="9183" xr:uid="{00000000-0005-0000-0000-0000DC2D0000}"/>
    <cellStyle name="40% - Accent3 6 2" xfId="9184" xr:uid="{00000000-0005-0000-0000-0000DD2D0000}"/>
    <cellStyle name="40% - Accent3 6 2 2" xfId="9185" xr:uid="{00000000-0005-0000-0000-0000DE2D0000}"/>
    <cellStyle name="40% - Accent3 6 2 2 2" xfId="9186" xr:uid="{00000000-0005-0000-0000-0000DF2D0000}"/>
    <cellStyle name="40% - Accent3 6 2 2 2 2" xfId="9187" xr:uid="{00000000-0005-0000-0000-0000E02D0000}"/>
    <cellStyle name="40% - Accent3 6 2 2 2 2 2" xfId="9188" xr:uid="{00000000-0005-0000-0000-0000E12D0000}"/>
    <cellStyle name="40% - Accent3 6 2 2 2 2 3" xfId="23731" xr:uid="{00000000-0005-0000-0000-0000E22D0000}"/>
    <cellStyle name="40% - Accent3 6 2 2 2 3" xfId="9189" xr:uid="{00000000-0005-0000-0000-0000E32D0000}"/>
    <cellStyle name="40% - Accent3 6 2 2 2 4" xfId="21148" xr:uid="{00000000-0005-0000-0000-0000E42D0000}"/>
    <cellStyle name="40% - Accent3 6 2 2 3" xfId="9190" xr:uid="{00000000-0005-0000-0000-0000E52D0000}"/>
    <cellStyle name="40% - Accent3 6 2 2 3 2" xfId="9191" xr:uid="{00000000-0005-0000-0000-0000E62D0000}"/>
    <cellStyle name="40% - Accent3 6 2 2 3 3" xfId="22441" xr:uid="{00000000-0005-0000-0000-0000E72D0000}"/>
    <cellStyle name="40% - Accent3 6 2 2 4" xfId="9192" xr:uid="{00000000-0005-0000-0000-0000E82D0000}"/>
    <cellStyle name="40% - Accent3 6 2 2 5" xfId="19854" xr:uid="{00000000-0005-0000-0000-0000E92D0000}"/>
    <cellStyle name="40% - Accent3 6 2 3" xfId="9193" xr:uid="{00000000-0005-0000-0000-0000EA2D0000}"/>
    <cellStyle name="40% - Accent3 6 2 3 2" xfId="9194" xr:uid="{00000000-0005-0000-0000-0000EB2D0000}"/>
    <cellStyle name="40% - Accent3 6 2 3 2 2" xfId="9195" xr:uid="{00000000-0005-0000-0000-0000EC2D0000}"/>
    <cellStyle name="40% - Accent3 6 2 3 2 3" xfId="23086" xr:uid="{00000000-0005-0000-0000-0000ED2D0000}"/>
    <cellStyle name="40% - Accent3 6 2 3 3" xfId="9196" xr:uid="{00000000-0005-0000-0000-0000EE2D0000}"/>
    <cellStyle name="40% - Accent3 6 2 3 4" xfId="20503" xr:uid="{00000000-0005-0000-0000-0000EF2D0000}"/>
    <cellStyle name="40% - Accent3 6 2 4" xfId="9197" xr:uid="{00000000-0005-0000-0000-0000F02D0000}"/>
    <cellStyle name="40% - Accent3 6 2 4 2" xfId="9198" xr:uid="{00000000-0005-0000-0000-0000F12D0000}"/>
    <cellStyle name="40% - Accent3 6 2 4 3" xfId="21796" xr:uid="{00000000-0005-0000-0000-0000F22D0000}"/>
    <cellStyle name="40% - Accent3 6 2 5" xfId="9199" xr:uid="{00000000-0005-0000-0000-0000F32D0000}"/>
    <cellStyle name="40% - Accent3 6 2 6" xfId="19206" xr:uid="{00000000-0005-0000-0000-0000F42D0000}"/>
    <cellStyle name="40% - Accent3 6 3" xfId="9200" xr:uid="{00000000-0005-0000-0000-0000F52D0000}"/>
    <cellStyle name="40% - Accent3 6 3 2" xfId="9201" xr:uid="{00000000-0005-0000-0000-0000F62D0000}"/>
    <cellStyle name="40% - Accent3 6 3 2 2" xfId="9202" xr:uid="{00000000-0005-0000-0000-0000F72D0000}"/>
    <cellStyle name="40% - Accent3 6 3 2 2 2" xfId="9203" xr:uid="{00000000-0005-0000-0000-0000F82D0000}"/>
    <cellStyle name="40% - Accent3 6 3 2 2 3" xfId="23409" xr:uid="{00000000-0005-0000-0000-0000F92D0000}"/>
    <cellStyle name="40% - Accent3 6 3 2 3" xfId="9204" xr:uid="{00000000-0005-0000-0000-0000FA2D0000}"/>
    <cellStyle name="40% - Accent3 6 3 2 4" xfId="20826" xr:uid="{00000000-0005-0000-0000-0000FB2D0000}"/>
    <cellStyle name="40% - Accent3 6 3 3" xfId="9205" xr:uid="{00000000-0005-0000-0000-0000FC2D0000}"/>
    <cellStyle name="40% - Accent3 6 3 3 2" xfId="9206" xr:uid="{00000000-0005-0000-0000-0000FD2D0000}"/>
    <cellStyle name="40% - Accent3 6 3 3 3" xfId="22119" xr:uid="{00000000-0005-0000-0000-0000FE2D0000}"/>
    <cellStyle name="40% - Accent3 6 3 4" xfId="9207" xr:uid="{00000000-0005-0000-0000-0000FF2D0000}"/>
    <cellStyle name="40% - Accent3 6 3 5" xfId="19532" xr:uid="{00000000-0005-0000-0000-0000002E0000}"/>
    <cellStyle name="40% - Accent3 6 4" xfId="9208" xr:uid="{00000000-0005-0000-0000-0000012E0000}"/>
    <cellStyle name="40% - Accent3 6 4 2" xfId="9209" xr:uid="{00000000-0005-0000-0000-0000022E0000}"/>
    <cellStyle name="40% - Accent3 6 4 2 2" xfId="9210" xr:uid="{00000000-0005-0000-0000-0000032E0000}"/>
    <cellStyle name="40% - Accent3 6 4 2 3" xfId="22764" xr:uid="{00000000-0005-0000-0000-0000042E0000}"/>
    <cellStyle name="40% - Accent3 6 4 3" xfId="9211" xr:uid="{00000000-0005-0000-0000-0000052E0000}"/>
    <cellStyle name="40% - Accent3 6 4 4" xfId="20181" xr:uid="{00000000-0005-0000-0000-0000062E0000}"/>
    <cellStyle name="40% - Accent3 6 5" xfId="9212" xr:uid="{00000000-0005-0000-0000-0000072E0000}"/>
    <cellStyle name="40% - Accent3 6 5 2" xfId="9213" xr:uid="{00000000-0005-0000-0000-0000082E0000}"/>
    <cellStyle name="40% - Accent3 6 5 3" xfId="21474" xr:uid="{00000000-0005-0000-0000-0000092E0000}"/>
    <cellStyle name="40% - Accent3 6 6" xfId="9214" xr:uid="{00000000-0005-0000-0000-00000A2E0000}"/>
    <cellStyle name="40% - Accent3 6 7" xfId="18876" xr:uid="{00000000-0005-0000-0000-00000B2E0000}"/>
    <cellStyle name="40% - Accent3 7" xfId="9215" xr:uid="{00000000-0005-0000-0000-00000C2E0000}"/>
    <cellStyle name="40% - Accent3 7 2" xfId="9216" xr:uid="{00000000-0005-0000-0000-00000D2E0000}"/>
    <cellStyle name="40% - Accent3 7 2 2" xfId="9217" xr:uid="{00000000-0005-0000-0000-00000E2E0000}"/>
    <cellStyle name="40% - Accent3 7 2 2 2" xfId="9218" xr:uid="{00000000-0005-0000-0000-00000F2E0000}"/>
    <cellStyle name="40% - Accent3 7 2 2 2 2" xfId="9219" xr:uid="{00000000-0005-0000-0000-0000102E0000}"/>
    <cellStyle name="40% - Accent3 7 2 2 2 3" xfId="23570" xr:uid="{00000000-0005-0000-0000-0000112E0000}"/>
    <cellStyle name="40% - Accent3 7 2 2 3" xfId="9220" xr:uid="{00000000-0005-0000-0000-0000122E0000}"/>
    <cellStyle name="40% - Accent3 7 2 2 4" xfId="20987" xr:uid="{00000000-0005-0000-0000-0000132E0000}"/>
    <cellStyle name="40% - Accent3 7 2 3" xfId="9221" xr:uid="{00000000-0005-0000-0000-0000142E0000}"/>
    <cellStyle name="40% - Accent3 7 2 3 2" xfId="9222" xr:uid="{00000000-0005-0000-0000-0000152E0000}"/>
    <cellStyle name="40% - Accent3 7 2 3 3" xfId="22280" xr:uid="{00000000-0005-0000-0000-0000162E0000}"/>
    <cellStyle name="40% - Accent3 7 2 4" xfId="9223" xr:uid="{00000000-0005-0000-0000-0000172E0000}"/>
    <cellStyle name="40% - Accent3 7 2 5" xfId="19693" xr:uid="{00000000-0005-0000-0000-0000182E0000}"/>
    <cellStyle name="40% - Accent3 7 3" xfId="9224" xr:uid="{00000000-0005-0000-0000-0000192E0000}"/>
    <cellStyle name="40% - Accent3 7 3 2" xfId="9225" xr:uid="{00000000-0005-0000-0000-00001A2E0000}"/>
    <cellStyle name="40% - Accent3 7 3 2 2" xfId="9226" xr:uid="{00000000-0005-0000-0000-00001B2E0000}"/>
    <cellStyle name="40% - Accent3 7 3 2 3" xfId="22925" xr:uid="{00000000-0005-0000-0000-00001C2E0000}"/>
    <cellStyle name="40% - Accent3 7 3 3" xfId="9227" xr:uid="{00000000-0005-0000-0000-00001D2E0000}"/>
    <cellStyle name="40% - Accent3 7 3 4" xfId="20342" xr:uid="{00000000-0005-0000-0000-00001E2E0000}"/>
    <cellStyle name="40% - Accent3 7 4" xfId="9228" xr:uid="{00000000-0005-0000-0000-00001F2E0000}"/>
    <cellStyle name="40% - Accent3 7 4 2" xfId="9229" xr:uid="{00000000-0005-0000-0000-0000202E0000}"/>
    <cellStyle name="40% - Accent3 7 4 3" xfId="21635" xr:uid="{00000000-0005-0000-0000-0000212E0000}"/>
    <cellStyle name="40% - Accent3 7 5" xfId="9230" xr:uid="{00000000-0005-0000-0000-0000222E0000}"/>
    <cellStyle name="40% - Accent3 7 6" xfId="19041" xr:uid="{00000000-0005-0000-0000-0000232E0000}"/>
    <cellStyle name="40% - Accent3 8" xfId="9231" xr:uid="{00000000-0005-0000-0000-0000242E0000}"/>
    <cellStyle name="40% - Accent3 8 2" xfId="9232" xr:uid="{00000000-0005-0000-0000-0000252E0000}"/>
    <cellStyle name="40% - Accent3 8 2 2" xfId="9233" xr:uid="{00000000-0005-0000-0000-0000262E0000}"/>
    <cellStyle name="40% - Accent3 8 2 2 2" xfId="9234" xr:uid="{00000000-0005-0000-0000-0000272E0000}"/>
    <cellStyle name="40% - Accent3 8 2 2 3" xfId="23247" xr:uid="{00000000-0005-0000-0000-0000282E0000}"/>
    <cellStyle name="40% - Accent3 8 2 3" xfId="9235" xr:uid="{00000000-0005-0000-0000-0000292E0000}"/>
    <cellStyle name="40% - Accent3 8 2 4" xfId="20664" xr:uid="{00000000-0005-0000-0000-00002A2E0000}"/>
    <cellStyle name="40% - Accent3 8 3" xfId="9236" xr:uid="{00000000-0005-0000-0000-00002B2E0000}"/>
    <cellStyle name="40% - Accent3 8 3 2" xfId="9237" xr:uid="{00000000-0005-0000-0000-00002C2E0000}"/>
    <cellStyle name="40% - Accent3 8 3 3" xfId="21957" xr:uid="{00000000-0005-0000-0000-00002D2E0000}"/>
    <cellStyle name="40% - Accent3 8 4" xfId="9238" xr:uid="{00000000-0005-0000-0000-00002E2E0000}"/>
    <cellStyle name="40% - Accent3 8 5" xfId="19367" xr:uid="{00000000-0005-0000-0000-00002F2E0000}"/>
    <cellStyle name="40% - Accent3 9" xfId="9239" xr:uid="{00000000-0005-0000-0000-0000302E0000}"/>
    <cellStyle name="40% - Accent3 9 2" xfId="9240" xr:uid="{00000000-0005-0000-0000-0000312E0000}"/>
    <cellStyle name="40% - Accent3 9 2 2" xfId="9241" xr:uid="{00000000-0005-0000-0000-0000322E0000}"/>
    <cellStyle name="40% - Accent3 9 2 3" xfId="22602" xr:uid="{00000000-0005-0000-0000-0000332E0000}"/>
    <cellStyle name="40% - Accent3 9 3" xfId="9242" xr:uid="{00000000-0005-0000-0000-0000342E0000}"/>
    <cellStyle name="40% - Accent3 9 4" xfId="20015" xr:uid="{00000000-0005-0000-0000-0000352E0000}"/>
    <cellStyle name="40% - Accent4 10" xfId="9243" xr:uid="{00000000-0005-0000-0000-0000362E0000}"/>
    <cellStyle name="40% - Accent4 10 2" xfId="9244" xr:uid="{00000000-0005-0000-0000-0000372E0000}"/>
    <cellStyle name="40% - Accent4 10 3" xfId="21310" xr:uid="{00000000-0005-0000-0000-0000382E0000}"/>
    <cellStyle name="40% - Accent4 11" xfId="9245" xr:uid="{00000000-0005-0000-0000-0000392E0000}"/>
    <cellStyle name="40% - Accent4 12" xfId="9246" xr:uid="{00000000-0005-0000-0000-00003A2E0000}"/>
    <cellStyle name="40% - Accent4 13" xfId="9247" xr:uid="{00000000-0005-0000-0000-00003B2E0000}"/>
    <cellStyle name="40% - Accent4 14" xfId="9248" xr:uid="{00000000-0005-0000-0000-00003C2E0000}"/>
    <cellStyle name="40% - Accent4 15" xfId="18621" xr:uid="{00000000-0005-0000-0000-00003D2E0000}"/>
    <cellStyle name="40% - Accent4 2" xfId="9249" xr:uid="{00000000-0005-0000-0000-00003E2E0000}"/>
    <cellStyle name="40% - Accent4 2 10" xfId="9250" xr:uid="{00000000-0005-0000-0000-00003F2E0000}"/>
    <cellStyle name="40% - Accent4 2 11" xfId="18639" xr:uid="{00000000-0005-0000-0000-0000402E0000}"/>
    <cellStyle name="40% - Accent4 2 2" xfId="9251" xr:uid="{00000000-0005-0000-0000-0000412E0000}"/>
    <cellStyle name="40% - Accent4 2 2 10" xfId="18726" xr:uid="{00000000-0005-0000-0000-0000422E0000}"/>
    <cellStyle name="40% - Accent4 2 2 2" xfId="9252" xr:uid="{00000000-0005-0000-0000-0000432E0000}"/>
    <cellStyle name="40% - Accent4 2 2 2 2" xfId="9253" xr:uid="{00000000-0005-0000-0000-0000442E0000}"/>
    <cellStyle name="40% - Accent4 2 2 2 2 2" xfId="9254" xr:uid="{00000000-0005-0000-0000-0000452E0000}"/>
    <cellStyle name="40% - Accent4 2 2 2 2 2 2" xfId="9255" xr:uid="{00000000-0005-0000-0000-0000462E0000}"/>
    <cellStyle name="40% - Accent4 2 2 2 2 2 2 2" xfId="9256" xr:uid="{00000000-0005-0000-0000-0000472E0000}"/>
    <cellStyle name="40% - Accent4 2 2 2 2 2 2 2 2" xfId="9257" xr:uid="{00000000-0005-0000-0000-0000482E0000}"/>
    <cellStyle name="40% - Accent4 2 2 2 2 2 2 2 2 2" xfId="9258" xr:uid="{00000000-0005-0000-0000-0000492E0000}"/>
    <cellStyle name="40% - Accent4 2 2 2 2 2 2 2 2 2 2" xfId="9259" xr:uid="{00000000-0005-0000-0000-00004A2E0000}"/>
    <cellStyle name="40% - Accent4 2 2 2 2 2 2 2 2 2 3" xfId="23883" xr:uid="{00000000-0005-0000-0000-00004B2E0000}"/>
    <cellStyle name="40% - Accent4 2 2 2 2 2 2 2 2 3" xfId="9260" xr:uid="{00000000-0005-0000-0000-00004C2E0000}"/>
    <cellStyle name="40% - Accent4 2 2 2 2 2 2 2 2 4" xfId="21300" xr:uid="{00000000-0005-0000-0000-00004D2E0000}"/>
    <cellStyle name="40% - Accent4 2 2 2 2 2 2 2 3" xfId="9261" xr:uid="{00000000-0005-0000-0000-00004E2E0000}"/>
    <cellStyle name="40% - Accent4 2 2 2 2 2 2 2 3 2" xfId="9262" xr:uid="{00000000-0005-0000-0000-00004F2E0000}"/>
    <cellStyle name="40% - Accent4 2 2 2 2 2 2 2 3 3" xfId="22593" xr:uid="{00000000-0005-0000-0000-0000502E0000}"/>
    <cellStyle name="40% - Accent4 2 2 2 2 2 2 2 4" xfId="9263" xr:uid="{00000000-0005-0000-0000-0000512E0000}"/>
    <cellStyle name="40% - Accent4 2 2 2 2 2 2 2 5" xfId="20006" xr:uid="{00000000-0005-0000-0000-0000522E0000}"/>
    <cellStyle name="40% - Accent4 2 2 2 2 2 2 3" xfId="9264" xr:uid="{00000000-0005-0000-0000-0000532E0000}"/>
    <cellStyle name="40% - Accent4 2 2 2 2 2 2 3 2" xfId="9265" xr:uid="{00000000-0005-0000-0000-0000542E0000}"/>
    <cellStyle name="40% - Accent4 2 2 2 2 2 2 3 2 2" xfId="9266" xr:uid="{00000000-0005-0000-0000-0000552E0000}"/>
    <cellStyle name="40% - Accent4 2 2 2 2 2 2 3 2 3" xfId="23238" xr:uid="{00000000-0005-0000-0000-0000562E0000}"/>
    <cellStyle name="40% - Accent4 2 2 2 2 2 2 3 3" xfId="9267" xr:uid="{00000000-0005-0000-0000-0000572E0000}"/>
    <cellStyle name="40% - Accent4 2 2 2 2 2 2 3 4" xfId="20655" xr:uid="{00000000-0005-0000-0000-0000582E0000}"/>
    <cellStyle name="40% - Accent4 2 2 2 2 2 2 4" xfId="9268" xr:uid="{00000000-0005-0000-0000-0000592E0000}"/>
    <cellStyle name="40% - Accent4 2 2 2 2 2 2 4 2" xfId="9269" xr:uid="{00000000-0005-0000-0000-00005A2E0000}"/>
    <cellStyle name="40% - Accent4 2 2 2 2 2 2 4 3" xfId="21948" xr:uid="{00000000-0005-0000-0000-00005B2E0000}"/>
    <cellStyle name="40% - Accent4 2 2 2 2 2 2 5" xfId="9270" xr:uid="{00000000-0005-0000-0000-00005C2E0000}"/>
    <cellStyle name="40% - Accent4 2 2 2 2 2 2 6" xfId="19358" xr:uid="{00000000-0005-0000-0000-00005D2E0000}"/>
    <cellStyle name="40% - Accent4 2 2 2 2 2 3" xfId="9271" xr:uid="{00000000-0005-0000-0000-00005E2E0000}"/>
    <cellStyle name="40% - Accent4 2 2 2 2 2 3 2" xfId="9272" xr:uid="{00000000-0005-0000-0000-00005F2E0000}"/>
    <cellStyle name="40% - Accent4 2 2 2 2 2 3 2 2" xfId="9273" xr:uid="{00000000-0005-0000-0000-0000602E0000}"/>
    <cellStyle name="40% - Accent4 2 2 2 2 2 3 2 2 2" xfId="9274" xr:uid="{00000000-0005-0000-0000-0000612E0000}"/>
    <cellStyle name="40% - Accent4 2 2 2 2 2 3 2 2 3" xfId="23561" xr:uid="{00000000-0005-0000-0000-0000622E0000}"/>
    <cellStyle name="40% - Accent4 2 2 2 2 2 3 2 3" xfId="9275" xr:uid="{00000000-0005-0000-0000-0000632E0000}"/>
    <cellStyle name="40% - Accent4 2 2 2 2 2 3 2 4" xfId="20978" xr:uid="{00000000-0005-0000-0000-0000642E0000}"/>
    <cellStyle name="40% - Accent4 2 2 2 2 2 3 3" xfId="9276" xr:uid="{00000000-0005-0000-0000-0000652E0000}"/>
    <cellStyle name="40% - Accent4 2 2 2 2 2 3 3 2" xfId="9277" xr:uid="{00000000-0005-0000-0000-0000662E0000}"/>
    <cellStyle name="40% - Accent4 2 2 2 2 2 3 3 3" xfId="22271" xr:uid="{00000000-0005-0000-0000-0000672E0000}"/>
    <cellStyle name="40% - Accent4 2 2 2 2 2 3 4" xfId="9278" xr:uid="{00000000-0005-0000-0000-0000682E0000}"/>
    <cellStyle name="40% - Accent4 2 2 2 2 2 3 5" xfId="19684" xr:uid="{00000000-0005-0000-0000-0000692E0000}"/>
    <cellStyle name="40% - Accent4 2 2 2 2 2 4" xfId="9279" xr:uid="{00000000-0005-0000-0000-00006A2E0000}"/>
    <cellStyle name="40% - Accent4 2 2 2 2 2 4 2" xfId="9280" xr:uid="{00000000-0005-0000-0000-00006B2E0000}"/>
    <cellStyle name="40% - Accent4 2 2 2 2 2 4 2 2" xfId="9281" xr:uid="{00000000-0005-0000-0000-00006C2E0000}"/>
    <cellStyle name="40% - Accent4 2 2 2 2 2 4 2 3" xfId="22916" xr:uid="{00000000-0005-0000-0000-00006D2E0000}"/>
    <cellStyle name="40% - Accent4 2 2 2 2 2 4 3" xfId="9282" xr:uid="{00000000-0005-0000-0000-00006E2E0000}"/>
    <cellStyle name="40% - Accent4 2 2 2 2 2 4 4" xfId="20333" xr:uid="{00000000-0005-0000-0000-00006F2E0000}"/>
    <cellStyle name="40% - Accent4 2 2 2 2 2 5" xfId="9283" xr:uid="{00000000-0005-0000-0000-0000702E0000}"/>
    <cellStyle name="40% - Accent4 2 2 2 2 2 5 2" xfId="9284" xr:uid="{00000000-0005-0000-0000-0000712E0000}"/>
    <cellStyle name="40% - Accent4 2 2 2 2 2 5 3" xfId="21626" xr:uid="{00000000-0005-0000-0000-0000722E0000}"/>
    <cellStyle name="40% - Accent4 2 2 2 2 2 6" xfId="9285" xr:uid="{00000000-0005-0000-0000-0000732E0000}"/>
    <cellStyle name="40% - Accent4 2 2 2 2 2 7" xfId="19032" xr:uid="{00000000-0005-0000-0000-0000742E0000}"/>
    <cellStyle name="40% - Accent4 2 2 2 2 3" xfId="9286" xr:uid="{00000000-0005-0000-0000-0000752E0000}"/>
    <cellStyle name="40% - Accent4 2 2 2 2 3 2" xfId="9287" xr:uid="{00000000-0005-0000-0000-0000762E0000}"/>
    <cellStyle name="40% - Accent4 2 2 2 2 3 2 2" xfId="9288" xr:uid="{00000000-0005-0000-0000-0000772E0000}"/>
    <cellStyle name="40% - Accent4 2 2 2 2 3 2 2 2" xfId="9289" xr:uid="{00000000-0005-0000-0000-0000782E0000}"/>
    <cellStyle name="40% - Accent4 2 2 2 2 3 2 2 2 2" xfId="9290" xr:uid="{00000000-0005-0000-0000-0000792E0000}"/>
    <cellStyle name="40% - Accent4 2 2 2 2 3 2 2 2 3" xfId="23722" xr:uid="{00000000-0005-0000-0000-00007A2E0000}"/>
    <cellStyle name="40% - Accent4 2 2 2 2 3 2 2 3" xfId="9291" xr:uid="{00000000-0005-0000-0000-00007B2E0000}"/>
    <cellStyle name="40% - Accent4 2 2 2 2 3 2 2 4" xfId="21139" xr:uid="{00000000-0005-0000-0000-00007C2E0000}"/>
    <cellStyle name="40% - Accent4 2 2 2 2 3 2 3" xfId="9292" xr:uid="{00000000-0005-0000-0000-00007D2E0000}"/>
    <cellStyle name="40% - Accent4 2 2 2 2 3 2 3 2" xfId="9293" xr:uid="{00000000-0005-0000-0000-00007E2E0000}"/>
    <cellStyle name="40% - Accent4 2 2 2 2 3 2 3 3" xfId="22432" xr:uid="{00000000-0005-0000-0000-00007F2E0000}"/>
    <cellStyle name="40% - Accent4 2 2 2 2 3 2 4" xfId="9294" xr:uid="{00000000-0005-0000-0000-0000802E0000}"/>
    <cellStyle name="40% - Accent4 2 2 2 2 3 2 5" xfId="19845" xr:uid="{00000000-0005-0000-0000-0000812E0000}"/>
    <cellStyle name="40% - Accent4 2 2 2 2 3 3" xfId="9295" xr:uid="{00000000-0005-0000-0000-0000822E0000}"/>
    <cellStyle name="40% - Accent4 2 2 2 2 3 3 2" xfId="9296" xr:uid="{00000000-0005-0000-0000-0000832E0000}"/>
    <cellStyle name="40% - Accent4 2 2 2 2 3 3 2 2" xfId="9297" xr:uid="{00000000-0005-0000-0000-0000842E0000}"/>
    <cellStyle name="40% - Accent4 2 2 2 2 3 3 2 3" xfId="23077" xr:uid="{00000000-0005-0000-0000-0000852E0000}"/>
    <cellStyle name="40% - Accent4 2 2 2 2 3 3 3" xfId="9298" xr:uid="{00000000-0005-0000-0000-0000862E0000}"/>
    <cellStyle name="40% - Accent4 2 2 2 2 3 3 4" xfId="20494" xr:uid="{00000000-0005-0000-0000-0000872E0000}"/>
    <cellStyle name="40% - Accent4 2 2 2 2 3 4" xfId="9299" xr:uid="{00000000-0005-0000-0000-0000882E0000}"/>
    <cellStyle name="40% - Accent4 2 2 2 2 3 4 2" xfId="9300" xr:uid="{00000000-0005-0000-0000-0000892E0000}"/>
    <cellStyle name="40% - Accent4 2 2 2 2 3 4 3" xfId="21787" xr:uid="{00000000-0005-0000-0000-00008A2E0000}"/>
    <cellStyle name="40% - Accent4 2 2 2 2 3 5" xfId="9301" xr:uid="{00000000-0005-0000-0000-00008B2E0000}"/>
    <cellStyle name="40% - Accent4 2 2 2 2 3 6" xfId="19197" xr:uid="{00000000-0005-0000-0000-00008C2E0000}"/>
    <cellStyle name="40% - Accent4 2 2 2 2 4" xfId="9302" xr:uid="{00000000-0005-0000-0000-00008D2E0000}"/>
    <cellStyle name="40% - Accent4 2 2 2 2 4 2" xfId="9303" xr:uid="{00000000-0005-0000-0000-00008E2E0000}"/>
    <cellStyle name="40% - Accent4 2 2 2 2 4 2 2" xfId="9304" xr:uid="{00000000-0005-0000-0000-00008F2E0000}"/>
    <cellStyle name="40% - Accent4 2 2 2 2 4 2 2 2" xfId="9305" xr:uid="{00000000-0005-0000-0000-0000902E0000}"/>
    <cellStyle name="40% - Accent4 2 2 2 2 4 2 2 3" xfId="23400" xr:uid="{00000000-0005-0000-0000-0000912E0000}"/>
    <cellStyle name="40% - Accent4 2 2 2 2 4 2 3" xfId="9306" xr:uid="{00000000-0005-0000-0000-0000922E0000}"/>
    <cellStyle name="40% - Accent4 2 2 2 2 4 2 4" xfId="20817" xr:uid="{00000000-0005-0000-0000-0000932E0000}"/>
    <cellStyle name="40% - Accent4 2 2 2 2 4 3" xfId="9307" xr:uid="{00000000-0005-0000-0000-0000942E0000}"/>
    <cellStyle name="40% - Accent4 2 2 2 2 4 3 2" xfId="9308" xr:uid="{00000000-0005-0000-0000-0000952E0000}"/>
    <cellStyle name="40% - Accent4 2 2 2 2 4 3 3" xfId="22110" xr:uid="{00000000-0005-0000-0000-0000962E0000}"/>
    <cellStyle name="40% - Accent4 2 2 2 2 4 4" xfId="9309" xr:uid="{00000000-0005-0000-0000-0000972E0000}"/>
    <cellStyle name="40% - Accent4 2 2 2 2 4 5" xfId="19523" xr:uid="{00000000-0005-0000-0000-0000982E0000}"/>
    <cellStyle name="40% - Accent4 2 2 2 2 5" xfId="9310" xr:uid="{00000000-0005-0000-0000-0000992E0000}"/>
    <cellStyle name="40% - Accent4 2 2 2 2 5 2" xfId="9311" xr:uid="{00000000-0005-0000-0000-00009A2E0000}"/>
    <cellStyle name="40% - Accent4 2 2 2 2 5 2 2" xfId="9312" xr:uid="{00000000-0005-0000-0000-00009B2E0000}"/>
    <cellStyle name="40% - Accent4 2 2 2 2 5 2 3" xfId="22755" xr:uid="{00000000-0005-0000-0000-00009C2E0000}"/>
    <cellStyle name="40% - Accent4 2 2 2 2 5 3" xfId="9313" xr:uid="{00000000-0005-0000-0000-00009D2E0000}"/>
    <cellStyle name="40% - Accent4 2 2 2 2 5 4" xfId="20172" xr:uid="{00000000-0005-0000-0000-00009E2E0000}"/>
    <cellStyle name="40% - Accent4 2 2 2 2 6" xfId="9314" xr:uid="{00000000-0005-0000-0000-00009F2E0000}"/>
    <cellStyle name="40% - Accent4 2 2 2 2 6 2" xfId="9315" xr:uid="{00000000-0005-0000-0000-0000A02E0000}"/>
    <cellStyle name="40% - Accent4 2 2 2 2 6 3" xfId="21465" xr:uid="{00000000-0005-0000-0000-0000A12E0000}"/>
    <cellStyle name="40% - Accent4 2 2 2 2 7" xfId="9316" xr:uid="{00000000-0005-0000-0000-0000A22E0000}"/>
    <cellStyle name="40% - Accent4 2 2 2 2 8" xfId="18867" xr:uid="{00000000-0005-0000-0000-0000A32E0000}"/>
    <cellStyle name="40% - Accent4 2 2 2 3" xfId="9317" xr:uid="{00000000-0005-0000-0000-0000A42E0000}"/>
    <cellStyle name="40% - Accent4 2 2 2 3 2" xfId="9318" xr:uid="{00000000-0005-0000-0000-0000A52E0000}"/>
    <cellStyle name="40% - Accent4 2 2 2 3 2 2" xfId="9319" xr:uid="{00000000-0005-0000-0000-0000A62E0000}"/>
    <cellStyle name="40% - Accent4 2 2 2 3 2 2 2" xfId="9320" xr:uid="{00000000-0005-0000-0000-0000A72E0000}"/>
    <cellStyle name="40% - Accent4 2 2 2 3 2 2 2 2" xfId="9321" xr:uid="{00000000-0005-0000-0000-0000A82E0000}"/>
    <cellStyle name="40% - Accent4 2 2 2 3 2 2 2 2 2" xfId="9322" xr:uid="{00000000-0005-0000-0000-0000A92E0000}"/>
    <cellStyle name="40% - Accent4 2 2 2 3 2 2 2 2 3" xfId="23803" xr:uid="{00000000-0005-0000-0000-0000AA2E0000}"/>
    <cellStyle name="40% - Accent4 2 2 2 3 2 2 2 3" xfId="9323" xr:uid="{00000000-0005-0000-0000-0000AB2E0000}"/>
    <cellStyle name="40% - Accent4 2 2 2 3 2 2 2 4" xfId="21220" xr:uid="{00000000-0005-0000-0000-0000AC2E0000}"/>
    <cellStyle name="40% - Accent4 2 2 2 3 2 2 3" xfId="9324" xr:uid="{00000000-0005-0000-0000-0000AD2E0000}"/>
    <cellStyle name="40% - Accent4 2 2 2 3 2 2 3 2" xfId="9325" xr:uid="{00000000-0005-0000-0000-0000AE2E0000}"/>
    <cellStyle name="40% - Accent4 2 2 2 3 2 2 3 3" xfId="22513" xr:uid="{00000000-0005-0000-0000-0000AF2E0000}"/>
    <cellStyle name="40% - Accent4 2 2 2 3 2 2 4" xfId="9326" xr:uid="{00000000-0005-0000-0000-0000B02E0000}"/>
    <cellStyle name="40% - Accent4 2 2 2 3 2 2 5" xfId="19926" xr:uid="{00000000-0005-0000-0000-0000B12E0000}"/>
    <cellStyle name="40% - Accent4 2 2 2 3 2 3" xfId="9327" xr:uid="{00000000-0005-0000-0000-0000B22E0000}"/>
    <cellStyle name="40% - Accent4 2 2 2 3 2 3 2" xfId="9328" xr:uid="{00000000-0005-0000-0000-0000B32E0000}"/>
    <cellStyle name="40% - Accent4 2 2 2 3 2 3 2 2" xfId="9329" xr:uid="{00000000-0005-0000-0000-0000B42E0000}"/>
    <cellStyle name="40% - Accent4 2 2 2 3 2 3 2 3" xfId="23158" xr:uid="{00000000-0005-0000-0000-0000B52E0000}"/>
    <cellStyle name="40% - Accent4 2 2 2 3 2 3 3" xfId="9330" xr:uid="{00000000-0005-0000-0000-0000B62E0000}"/>
    <cellStyle name="40% - Accent4 2 2 2 3 2 3 4" xfId="20575" xr:uid="{00000000-0005-0000-0000-0000B72E0000}"/>
    <cellStyle name="40% - Accent4 2 2 2 3 2 4" xfId="9331" xr:uid="{00000000-0005-0000-0000-0000B82E0000}"/>
    <cellStyle name="40% - Accent4 2 2 2 3 2 4 2" xfId="9332" xr:uid="{00000000-0005-0000-0000-0000B92E0000}"/>
    <cellStyle name="40% - Accent4 2 2 2 3 2 4 3" xfId="21868" xr:uid="{00000000-0005-0000-0000-0000BA2E0000}"/>
    <cellStyle name="40% - Accent4 2 2 2 3 2 5" xfId="9333" xr:uid="{00000000-0005-0000-0000-0000BB2E0000}"/>
    <cellStyle name="40% - Accent4 2 2 2 3 2 6" xfId="19278" xr:uid="{00000000-0005-0000-0000-0000BC2E0000}"/>
    <cellStyle name="40% - Accent4 2 2 2 3 3" xfId="9334" xr:uid="{00000000-0005-0000-0000-0000BD2E0000}"/>
    <cellStyle name="40% - Accent4 2 2 2 3 3 2" xfId="9335" xr:uid="{00000000-0005-0000-0000-0000BE2E0000}"/>
    <cellStyle name="40% - Accent4 2 2 2 3 3 2 2" xfId="9336" xr:uid="{00000000-0005-0000-0000-0000BF2E0000}"/>
    <cellStyle name="40% - Accent4 2 2 2 3 3 2 2 2" xfId="9337" xr:uid="{00000000-0005-0000-0000-0000C02E0000}"/>
    <cellStyle name="40% - Accent4 2 2 2 3 3 2 2 3" xfId="23481" xr:uid="{00000000-0005-0000-0000-0000C12E0000}"/>
    <cellStyle name="40% - Accent4 2 2 2 3 3 2 3" xfId="9338" xr:uid="{00000000-0005-0000-0000-0000C22E0000}"/>
    <cellStyle name="40% - Accent4 2 2 2 3 3 2 4" xfId="20898" xr:uid="{00000000-0005-0000-0000-0000C32E0000}"/>
    <cellStyle name="40% - Accent4 2 2 2 3 3 3" xfId="9339" xr:uid="{00000000-0005-0000-0000-0000C42E0000}"/>
    <cellStyle name="40% - Accent4 2 2 2 3 3 3 2" xfId="9340" xr:uid="{00000000-0005-0000-0000-0000C52E0000}"/>
    <cellStyle name="40% - Accent4 2 2 2 3 3 3 3" xfId="22191" xr:uid="{00000000-0005-0000-0000-0000C62E0000}"/>
    <cellStyle name="40% - Accent4 2 2 2 3 3 4" xfId="9341" xr:uid="{00000000-0005-0000-0000-0000C72E0000}"/>
    <cellStyle name="40% - Accent4 2 2 2 3 3 5" xfId="19604" xr:uid="{00000000-0005-0000-0000-0000C82E0000}"/>
    <cellStyle name="40% - Accent4 2 2 2 3 4" xfId="9342" xr:uid="{00000000-0005-0000-0000-0000C92E0000}"/>
    <cellStyle name="40% - Accent4 2 2 2 3 4 2" xfId="9343" xr:uid="{00000000-0005-0000-0000-0000CA2E0000}"/>
    <cellStyle name="40% - Accent4 2 2 2 3 4 2 2" xfId="9344" xr:uid="{00000000-0005-0000-0000-0000CB2E0000}"/>
    <cellStyle name="40% - Accent4 2 2 2 3 4 2 3" xfId="22836" xr:uid="{00000000-0005-0000-0000-0000CC2E0000}"/>
    <cellStyle name="40% - Accent4 2 2 2 3 4 3" xfId="9345" xr:uid="{00000000-0005-0000-0000-0000CD2E0000}"/>
    <cellStyle name="40% - Accent4 2 2 2 3 4 4" xfId="20253" xr:uid="{00000000-0005-0000-0000-0000CE2E0000}"/>
    <cellStyle name="40% - Accent4 2 2 2 3 5" xfId="9346" xr:uid="{00000000-0005-0000-0000-0000CF2E0000}"/>
    <cellStyle name="40% - Accent4 2 2 2 3 5 2" xfId="9347" xr:uid="{00000000-0005-0000-0000-0000D02E0000}"/>
    <cellStyle name="40% - Accent4 2 2 2 3 5 3" xfId="21546" xr:uid="{00000000-0005-0000-0000-0000D12E0000}"/>
    <cellStyle name="40% - Accent4 2 2 2 3 6" xfId="9348" xr:uid="{00000000-0005-0000-0000-0000D22E0000}"/>
    <cellStyle name="40% - Accent4 2 2 2 3 7" xfId="18952" xr:uid="{00000000-0005-0000-0000-0000D32E0000}"/>
    <cellStyle name="40% - Accent4 2 2 2 4" xfId="9349" xr:uid="{00000000-0005-0000-0000-0000D42E0000}"/>
    <cellStyle name="40% - Accent4 2 2 2 4 2" xfId="9350" xr:uid="{00000000-0005-0000-0000-0000D52E0000}"/>
    <cellStyle name="40% - Accent4 2 2 2 4 2 2" xfId="9351" xr:uid="{00000000-0005-0000-0000-0000D62E0000}"/>
    <cellStyle name="40% - Accent4 2 2 2 4 2 2 2" xfId="9352" xr:uid="{00000000-0005-0000-0000-0000D72E0000}"/>
    <cellStyle name="40% - Accent4 2 2 2 4 2 2 2 2" xfId="9353" xr:uid="{00000000-0005-0000-0000-0000D82E0000}"/>
    <cellStyle name="40% - Accent4 2 2 2 4 2 2 2 3" xfId="23642" xr:uid="{00000000-0005-0000-0000-0000D92E0000}"/>
    <cellStyle name="40% - Accent4 2 2 2 4 2 2 3" xfId="9354" xr:uid="{00000000-0005-0000-0000-0000DA2E0000}"/>
    <cellStyle name="40% - Accent4 2 2 2 4 2 2 4" xfId="21059" xr:uid="{00000000-0005-0000-0000-0000DB2E0000}"/>
    <cellStyle name="40% - Accent4 2 2 2 4 2 3" xfId="9355" xr:uid="{00000000-0005-0000-0000-0000DC2E0000}"/>
    <cellStyle name="40% - Accent4 2 2 2 4 2 3 2" xfId="9356" xr:uid="{00000000-0005-0000-0000-0000DD2E0000}"/>
    <cellStyle name="40% - Accent4 2 2 2 4 2 3 3" xfId="22352" xr:uid="{00000000-0005-0000-0000-0000DE2E0000}"/>
    <cellStyle name="40% - Accent4 2 2 2 4 2 4" xfId="9357" xr:uid="{00000000-0005-0000-0000-0000DF2E0000}"/>
    <cellStyle name="40% - Accent4 2 2 2 4 2 5" xfId="19765" xr:uid="{00000000-0005-0000-0000-0000E02E0000}"/>
    <cellStyle name="40% - Accent4 2 2 2 4 3" xfId="9358" xr:uid="{00000000-0005-0000-0000-0000E12E0000}"/>
    <cellStyle name="40% - Accent4 2 2 2 4 3 2" xfId="9359" xr:uid="{00000000-0005-0000-0000-0000E22E0000}"/>
    <cellStyle name="40% - Accent4 2 2 2 4 3 2 2" xfId="9360" xr:uid="{00000000-0005-0000-0000-0000E32E0000}"/>
    <cellStyle name="40% - Accent4 2 2 2 4 3 2 3" xfId="22997" xr:uid="{00000000-0005-0000-0000-0000E42E0000}"/>
    <cellStyle name="40% - Accent4 2 2 2 4 3 3" xfId="9361" xr:uid="{00000000-0005-0000-0000-0000E52E0000}"/>
    <cellStyle name="40% - Accent4 2 2 2 4 3 4" xfId="20414" xr:uid="{00000000-0005-0000-0000-0000E62E0000}"/>
    <cellStyle name="40% - Accent4 2 2 2 4 4" xfId="9362" xr:uid="{00000000-0005-0000-0000-0000E72E0000}"/>
    <cellStyle name="40% - Accent4 2 2 2 4 4 2" xfId="9363" xr:uid="{00000000-0005-0000-0000-0000E82E0000}"/>
    <cellStyle name="40% - Accent4 2 2 2 4 4 3" xfId="21707" xr:uid="{00000000-0005-0000-0000-0000E92E0000}"/>
    <cellStyle name="40% - Accent4 2 2 2 4 5" xfId="9364" xr:uid="{00000000-0005-0000-0000-0000EA2E0000}"/>
    <cellStyle name="40% - Accent4 2 2 2 4 6" xfId="19117" xr:uid="{00000000-0005-0000-0000-0000EB2E0000}"/>
    <cellStyle name="40% - Accent4 2 2 2 5" xfId="9365" xr:uid="{00000000-0005-0000-0000-0000EC2E0000}"/>
    <cellStyle name="40% - Accent4 2 2 2 5 2" xfId="9366" xr:uid="{00000000-0005-0000-0000-0000ED2E0000}"/>
    <cellStyle name="40% - Accent4 2 2 2 5 2 2" xfId="9367" xr:uid="{00000000-0005-0000-0000-0000EE2E0000}"/>
    <cellStyle name="40% - Accent4 2 2 2 5 2 2 2" xfId="9368" xr:uid="{00000000-0005-0000-0000-0000EF2E0000}"/>
    <cellStyle name="40% - Accent4 2 2 2 5 2 2 3" xfId="23319" xr:uid="{00000000-0005-0000-0000-0000F02E0000}"/>
    <cellStyle name="40% - Accent4 2 2 2 5 2 3" xfId="9369" xr:uid="{00000000-0005-0000-0000-0000F12E0000}"/>
    <cellStyle name="40% - Accent4 2 2 2 5 2 4" xfId="20736" xr:uid="{00000000-0005-0000-0000-0000F22E0000}"/>
    <cellStyle name="40% - Accent4 2 2 2 5 3" xfId="9370" xr:uid="{00000000-0005-0000-0000-0000F32E0000}"/>
    <cellStyle name="40% - Accent4 2 2 2 5 3 2" xfId="9371" xr:uid="{00000000-0005-0000-0000-0000F42E0000}"/>
    <cellStyle name="40% - Accent4 2 2 2 5 3 3" xfId="22029" xr:uid="{00000000-0005-0000-0000-0000F52E0000}"/>
    <cellStyle name="40% - Accent4 2 2 2 5 4" xfId="9372" xr:uid="{00000000-0005-0000-0000-0000F62E0000}"/>
    <cellStyle name="40% - Accent4 2 2 2 5 5" xfId="19443" xr:uid="{00000000-0005-0000-0000-0000F72E0000}"/>
    <cellStyle name="40% - Accent4 2 2 2 6" xfId="9373" xr:uid="{00000000-0005-0000-0000-0000F82E0000}"/>
    <cellStyle name="40% - Accent4 2 2 2 6 2" xfId="9374" xr:uid="{00000000-0005-0000-0000-0000F92E0000}"/>
    <cellStyle name="40% - Accent4 2 2 2 6 2 2" xfId="9375" xr:uid="{00000000-0005-0000-0000-0000FA2E0000}"/>
    <cellStyle name="40% - Accent4 2 2 2 6 2 3" xfId="22674" xr:uid="{00000000-0005-0000-0000-0000FB2E0000}"/>
    <cellStyle name="40% - Accent4 2 2 2 6 3" xfId="9376" xr:uid="{00000000-0005-0000-0000-0000FC2E0000}"/>
    <cellStyle name="40% - Accent4 2 2 2 6 4" xfId="20091" xr:uid="{00000000-0005-0000-0000-0000FD2E0000}"/>
    <cellStyle name="40% - Accent4 2 2 2 7" xfId="9377" xr:uid="{00000000-0005-0000-0000-0000FE2E0000}"/>
    <cellStyle name="40% - Accent4 2 2 2 7 2" xfId="9378" xr:uid="{00000000-0005-0000-0000-0000FF2E0000}"/>
    <cellStyle name="40% - Accent4 2 2 2 7 3" xfId="21384" xr:uid="{00000000-0005-0000-0000-0000002F0000}"/>
    <cellStyle name="40% - Accent4 2 2 2 8" xfId="9379" xr:uid="{00000000-0005-0000-0000-0000012F0000}"/>
    <cellStyle name="40% - Accent4 2 2 2 9" xfId="18770" xr:uid="{00000000-0005-0000-0000-0000022F0000}"/>
    <cellStyle name="40% - Accent4 2 2 3" xfId="9380" xr:uid="{00000000-0005-0000-0000-0000032F0000}"/>
    <cellStyle name="40% - Accent4 2 2 3 2" xfId="9381" xr:uid="{00000000-0005-0000-0000-0000042F0000}"/>
    <cellStyle name="40% - Accent4 2 2 3 2 2" xfId="9382" xr:uid="{00000000-0005-0000-0000-0000052F0000}"/>
    <cellStyle name="40% - Accent4 2 2 3 2 2 2" xfId="9383" xr:uid="{00000000-0005-0000-0000-0000062F0000}"/>
    <cellStyle name="40% - Accent4 2 2 3 2 2 2 2" xfId="9384" xr:uid="{00000000-0005-0000-0000-0000072F0000}"/>
    <cellStyle name="40% - Accent4 2 2 3 2 2 2 2 2" xfId="9385" xr:uid="{00000000-0005-0000-0000-0000082F0000}"/>
    <cellStyle name="40% - Accent4 2 2 3 2 2 2 2 2 2" xfId="9386" xr:uid="{00000000-0005-0000-0000-0000092F0000}"/>
    <cellStyle name="40% - Accent4 2 2 3 2 2 2 2 2 3" xfId="23843" xr:uid="{00000000-0005-0000-0000-00000A2F0000}"/>
    <cellStyle name="40% - Accent4 2 2 3 2 2 2 2 3" xfId="9387" xr:uid="{00000000-0005-0000-0000-00000B2F0000}"/>
    <cellStyle name="40% - Accent4 2 2 3 2 2 2 2 4" xfId="21260" xr:uid="{00000000-0005-0000-0000-00000C2F0000}"/>
    <cellStyle name="40% - Accent4 2 2 3 2 2 2 3" xfId="9388" xr:uid="{00000000-0005-0000-0000-00000D2F0000}"/>
    <cellStyle name="40% - Accent4 2 2 3 2 2 2 3 2" xfId="9389" xr:uid="{00000000-0005-0000-0000-00000E2F0000}"/>
    <cellStyle name="40% - Accent4 2 2 3 2 2 2 3 3" xfId="22553" xr:uid="{00000000-0005-0000-0000-00000F2F0000}"/>
    <cellStyle name="40% - Accent4 2 2 3 2 2 2 4" xfId="9390" xr:uid="{00000000-0005-0000-0000-0000102F0000}"/>
    <cellStyle name="40% - Accent4 2 2 3 2 2 2 5" xfId="19966" xr:uid="{00000000-0005-0000-0000-0000112F0000}"/>
    <cellStyle name="40% - Accent4 2 2 3 2 2 3" xfId="9391" xr:uid="{00000000-0005-0000-0000-0000122F0000}"/>
    <cellStyle name="40% - Accent4 2 2 3 2 2 3 2" xfId="9392" xr:uid="{00000000-0005-0000-0000-0000132F0000}"/>
    <cellStyle name="40% - Accent4 2 2 3 2 2 3 2 2" xfId="9393" xr:uid="{00000000-0005-0000-0000-0000142F0000}"/>
    <cellStyle name="40% - Accent4 2 2 3 2 2 3 2 3" xfId="23198" xr:uid="{00000000-0005-0000-0000-0000152F0000}"/>
    <cellStyle name="40% - Accent4 2 2 3 2 2 3 3" xfId="9394" xr:uid="{00000000-0005-0000-0000-0000162F0000}"/>
    <cellStyle name="40% - Accent4 2 2 3 2 2 3 4" xfId="20615" xr:uid="{00000000-0005-0000-0000-0000172F0000}"/>
    <cellStyle name="40% - Accent4 2 2 3 2 2 4" xfId="9395" xr:uid="{00000000-0005-0000-0000-0000182F0000}"/>
    <cellStyle name="40% - Accent4 2 2 3 2 2 4 2" xfId="9396" xr:uid="{00000000-0005-0000-0000-0000192F0000}"/>
    <cellStyle name="40% - Accent4 2 2 3 2 2 4 3" xfId="21908" xr:uid="{00000000-0005-0000-0000-00001A2F0000}"/>
    <cellStyle name="40% - Accent4 2 2 3 2 2 5" xfId="9397" xr:uid="{00000000-0005-0000-0000-00001B2F0000}"/>
    <cellStyle name="40% - Accent4 2 2 3 2 2 6" xfId="19318" xr:uid="{00000000-0005-0000-0000-00001C2F0000}"/>
    <cellStyle name="40% - Accent4 2 2 3 2 3" xfId="9398" xr:uid="{00000000-0005-0000-0000-00001D2F0000}"/>
    <cellStyle name="40% - Accent4 2 2 3 2 3 2" xfId="9399" xr:uid="{00000000-0005-0000-0000-00001E2F0000}"/>
    <cellStyle name="40% - Accent4 2 2 3 2 3 2 2" xfId="9400" xr:uid="{00000000-0005-0000-0000-00001F2F0000}"/>
    <cellStyle name="40% - Accent4 2 2 3 2 3 2 2 2" xfId="9401" xr:uid="{00000000-0005-0000-0000-0000202F0000}"/>
    <cellStyle name="40% - Accent4 2 2 3 2 3 2 2 3" xfId="23521" xr:uid="{00000000-0005-0000-0000-0000212F0000}"/>
    <cellStyle name="40% - Accent4 2 2 3 2 3 2 3" xfId="9402" xr:uid="{00000000-0005-0000-0000-0000222F0000}"/>
    <cellStyle name="40% - Accent4 2 2 3 2 3 2 4" xfId="20938" xr:uid="{00000000-0005-0000-0000-0000232F0000}"/>
    <cellStyle name="40% - Accent4 2 2 3 2 3 3" xfId="9403" xr:uid="{00000000-0005-0000-0000-0000242F0000}"/>
    <cellStyle name="40% - Accent4 2 2 3 2 3 3 2" xfId="9404" xr:uid="{00000000-0005-0000-0000-0000252F0000}"/>
    <cellStyle name="40% - Accent4 2 2 3 2 3 3 3" xfId="22231" xr:uid="{00000000-0005-0000-0000-0000262F0000}"/>
    <cellStyle name="40% - Accent4 2 2 3 2 3 4" xfId="9405" xr:uid="{00000000-0005-0000-0000-0000272F0000}"/>
    <cellStyle name="40% - Accent4 2 2 3 2 3 5" xfId="19644" xr:uid="{00000000-0005-0000-0000-0000282F0000}"/>
    <cellStyle name="40% - Accent4 2 2 3 2 4" xfId="9406" xr:uid="{00000000-0005-0000-0000-0000292F0000}"/>
    <cellStyle name="40% - Accent4 2 2 3 2 4 2" xfId="9407" xr:uid="{00000000-0005-0000-0000-00002A2F0000}"/>
    <cellStyle name="40% - Accent4 2 2 3 2 4 2 2" xfId="9408" xr:uid="{00000000-0005-0000-0000-00002B2F0000}"/>
    <cellStyle name="40% - Accent4 2 2 3 2 4 2 3" xfId="22876" xr:uid="{00000000-0005-0000-0000-00002C2F0000}"/>
    <cellStyle name="40% - Accent4 2 2 3 2 4 3" xfId="9409" xr:uid="{00000000-0005-0000-0000-00002D2F0000}"/>
    <cellStyle name="40% - Accent4 2 2 3 2 4 4" xfId="20293" xr:uid="{00000000-0005-0000-0000-00002E2F0000}"/>
    <cellStyle name="40% - Accent4 2 2 3 2 5" xfId="9410" xr:uid="{00000000-0005-0000-0000-00002F2F0000}"/>
    <cellStyle name="40% - Accent4 2 2 3 2 5 2" xfId="9411" xr:uid="{00000000-0005-0000-0000-0000302F0000}"/>
    <cellStyle name="40% - Accent4 2 2 3 2 5 3" xfId="21586" xr:uid="{00000000-0005-0000-0000-0000312F0000}"/>
    <cellStyle name="40% - Accent4 2 2 3 2 6" xfId="9412" xr:uid="{00000000-0005-0000-0000-0000322F0000}"/>
    <cellStyle name="40% - Accent4 2 2 3 2 7" xfId="18992" xr:uid="{00000000-0005-0000-0000-0000332F0000}"/>
    <cellStyle name="40% - Accent4 2 2 3 3" xfId="9413" xr:uid="{00000000-0005-0000-0000-0000342F0000}"/>
    <cellStyle name="40% - Accent4 2 2 3 3 2" xfId="9414" xr:uid="{00000000-0005-0000-0000-0000352F0000}"/>
    <cellStyle name="40% - Accent4 2 2 3 3 2 2" xfId="9415" xr:uid="{00000000-0005-0000-0000-0000362F0000}"/>
    <cellStyle name="40% - Accent4 2 2 3 3 2 2 2" xfId="9416" xr:uid="{00000000-0005-0000-0000-0000372F0000}"/>
    <cellStyle name="40% - Accent4 2 2 3 3 2 2 2 2" xfId="9417" xr:uid="{00000000-0005-0000-0000-0000382F0000}"/>
    <cellStyle name="40% - Accent4 2 2 3 3 2 2 2 3" xfId="23682" xr:uid="{00000000-0005-0000-0000-0000392F0000}"/>
    <cellStyle name="40% - Accent4 2 2 3 3 2 2 3" xfId="9418" xr:uid="{00000000-0005-0000-0000-00003A2F0000}"/>
    <cellStyle name="40% - Accent4 2 2 3 3 2 2 4" xfId="21099" xr:uid="{00000000-0005-0000-0000-00003B2F0000}"/>
    <cellStyle name="40% - Accent4 2 2 3 3 2 3" xfId="9419" xr:uid="{00000000-0005-0000-0000-00003C2F0000}"/>
    <cellStyle name="40% - Accent4 2 2 3 3 2 3 2" xfId="9420" xr:uid="{00000000-0005-0000-0000-00003D2F0000}"/>
    <cellStyle name="40% - Accent4 2 2 3 3 2 3 3" xfId="22392" xr:uid="{00000000-0005-0000-0000-00003E2F0000}"/>
    <cellStyle name="40% - Accent4 2 2 3 3 2 4" xfId="9421" xr:uid="{00000000-0005-0000-0000-00003F2F0000}"/>
    <cellStyle name="40% - Accent4 2 2 3 3 2 5" xfId="19805" xr:uid="{00000000-0005-0000-0000-0000402F0000}"/>
    <cellStyle name="40% - Accent4 2 2 3 3 3" xfId="9422" xr:uid="{00000000-0005-0000-0000-0000412F0000}"/>
    <cellStyle name="40% - Accent4 2 2 3 3 3 2" xfId="9423" xr:uid="{00000000-0005-0000-0000-0000422F0000}"/>
    <cellStyle name="40% - Accent4 2 2 3 3 3 2 2" xfId="9424" xr:uid="{00000000-0005-0000-0000-0000432F0000}"/>
    <cellStyle name="40% - Accent4 2 2 3 3 3 2 3" xfId="23037" xr:uid="{00000000-0005-0000-0000-0000442F0000}"/>
    <cellStyle name="40% - Accent4 2 2 3 3 3 3" xfId="9425" xr:uid="{00000000-0005-0000-0000-0000452F0000}"/>
    <cellStyle name="40% - Accent4 2 2 3 3 3 4" xfId="20454" xr:uid="{00000000-0005-0000-0000-0000462F0000}"/>
    <cellStyle name="40% - Accent4 2 2 3 3 4" xfId="9426" xr:uid="{00000000-0005-0000-0000-0000472F0000}"/>
    <cellStyle name="40% - Accent4 2 2 3 3 4 2" xfId="9427" xr:uid="{00000000-0005-0000-0000-0000482F0000}"/>
    <cellStyle name="40% - Accent4 2 2 3 3 4 3" xfId="21747" xr:uid="{00000000-0005-0000-0000-0000492F0000}"/>
    <cellStyle name="40% - Accent4 2 2 3 3 5" xfId="9428" xr:uid="{00000000-0005-0000-0000-00004A2F0000}"/>
    <cellStyle name="40% - Accent4 2 2 3 3 6" xfId="19157" xr:uid="{00000000-0005-0000-0000-00004B2F0000}"/>
    <cellStyle name="40% - Accent4 2 2 3 4" xfId="9429" xr:uid="{00000000-0005-0000-0000-00004C2F0000}"/>
    <cellStyle name="40% - Accent4 2 2 3 4 2" xfId="9430" xr:uid="{00000000-0005-0000-0000-00004D2F0000}"/>
    <cellStyle name="40% - Accent4 2 2 3 4 2 2" xfId="9431" xr:uid="{00000000-0005-0000-0000-00004E2F0000}"/>
    <cellStyle name="40% - Accent4 2 2 3 4 2 2 2" xfId="9432" xr:uid="{00000000-0005-0000-0000-00004F2F0000}"/>
    <cellStyle name="40% - Accent4 2 2 3 4 2 2 3" xfId="23360" xr:uid="{00000000-0005-0000-0000-0000502F0000}"/>
    <cellStyle name="40% - Accent4 2 2 3 4 2 3" xfId="9433" xr:uid="{00000000-0005-0000-0000-0000512F0000}"/>
    <cellStyle name="40% - Accent4 2 2 3 4 2 4" xfId="20777" xr:uid="{00000000-0005-0000-0000-0000522F0000}"/>
    <cellStyle name="40% - Accent4 2 2 3 4 3" xfId="9434" xr:uid="{00000000-0005-0000-0000-0000532F0000}"/>
    <cellStyle name="40% - Accent4 2 2 3 4 3 2" xfId="9435" xr:uid="{00000000-0005-0000-0000-0000542F0000}"/>
    <cellStyle name="40% - Accent4 2 2 3 4 3 3" xfId="22070" xr:uid="{00000000-0005-0000-0000-0000552F0000}"/>
    <cellStyle name="40% - Accent4 2 2 3 4 4" xfId="9436" xr:uid="{00000000-0005-0000-0000-0000562F0000}"/>
    <cellStyle name="40% - Accent4 2 2 3 4 5" xfId="19483" xr:uid="{00000000-0005-0000-0000-0000572F0000}"/>
    <cellStyle name="40% - Accent4 2 2 3 5" xfId="9437" xr:uid="{00000000-0005-0000-0000-0000582F0000}"/>
    <cellStyle name="40% - Accent4 2 2 3 5 2" xfId="9438" xr:uid="{00000000-0005-0000-0000-0000592F0000}"/>
    <cellStyle name="40% - Accent4 2 2 3 5 2 2" xfId="9439" xr:uid="{00000000-0005-0000-0000-00005A2F0000}"/>
    <cellStyle name="40% - Accent4 2 2 3 5 2 3" xfId="22715" xr:uid="{00000000-0005-0000-0000-00005B2F0000}"/>
    <cellStyle name="40% - Accent4 2 2 3 5 3" xfId="9440" xr:uid="{00000000-0005-0000-0000-00005C2F0000}"/>
    <cellStyle name="40% - Accent4 2 2 3 5 4" xfId="20132" xr:uid="{00000000-0005-0000-0000-00005D2F0000}"/>
    <cellStyle name="40% - Accent4 2 2 3 6" xfId="9441" xr:uid="{00000000-0005-0000-0000-00005E2F0000}"/>
    <cellStyle name="40% - Accent4 2 2 3 6 2" xfId="9442" xr:uid="{00000000-0005-0000-0000-00005F2F0000}"/>
    <cellStyle name="40% - Accent4 2 2 3 6 3" xfId="21425" xr:uid="{00000000-0005-0000-0000-0000602F0000}"/>
    <cellStyle name="40% - Accent4 2 2 3 7" xfId="9443" xr:uid="{00000000-0005-0000-0000-0000612F0000}"/>
    <cellStyle name="40% - Accent4 2 2 3 8" xfId="18826" xr:uid="{00000000-0005-0000-0000-0000622F0000}"/>
    <cellStyle name="40% - Accent4 2 2 4" xfId="9444" xr:uid="{00000000-0005-0000-0000-0000632F0000}"/>
    <cellStyle name="40% - Accent4 2 2 4 2" xfId="9445" xr:uid="{00000000-0005-0000-0000-0000642F0000}"/>
    <cellStyle name="40% - Accent4 2 2 4 2 2" xfId="9446" xr:uid="{00000000-0005-0000-0000-0000652F0000}"/>
    <cellStyle name="40% - Accent4 2 2 4 2 2 2" xfId="9447" xr:uid="{00000000-0005-0000-0000-0000662F0000}"/>
    <cellStyle name="40% - Accent4 2 2 4 2 2 2 2" xfId="9448" xr:uid="{00000000-0005-0000-0000-0000672F0000}"/>
    <cellStyle name="40% - Accent4 2 2 4 2 2 2 2 2" xfId="9449" xr:uid="{00000000-0005-0000-0000-0000682F0000}"/>
    <cellStyle name="40% - Accent4 2 2 4 2 2 2 2 3" xfId="23763" xr:uid="{00000000-0005-0000-0000-0000692F0000}"/>
    <cellStyle name="40% - Accent4 2 2 4 2 2 2 3" xfId="9450" xr:uid="{00000000-0005-0000-0000-00006A2F0000}"/>
    <cellStyle name="40% - Accent4 2 2 4 2 2 2 4" xfId="21180" xr:uid="{00000000-0005-0000-0000-00006B2F0000}"/>
    <cellStyle name="40% - Accent4 2 2 4 2 2 3" xfId="9451" xr:uid="{00000000-0005-0000-0000-00006C2F0000}"/>
    <cellStyle name="40% - Accent4 2 2 4 2 2 3 2" xfId="9452" xr:uid="{00000000-0005-0000-0000-00006D2F0000}"/>
    <cellStyle name="40% - Accent4 2 2 4 2 2 3 3" xfId="22473" xr:uid="{00000000-0005-0000-0000-00006E2F0000}"/>
    <cellStyle name="40% - Accent4 2 2 4 2 2 4" xfId="9453" xr:uid="{00000000-0005-0000-0000-00006F2F0000}"/>
    <cellStyle name="40% - Accent4 2 2 4 2 2 5" xfId="19886" xr:uid="{00000000-0005-0000-0000-0000702F0000}"/>
    <cellStyle name="40% - Accent4 2 2 4 2 3" xfId="9454" xr:uid="{00000000-0005-0000-0000-0000712F0000}"/>
    <cellStyle name="40% - Accent4 2 2 4 2 3 2" xfId="9455" xr:uid="{00000000-0005-0000-0000-0000722F0000}"/>
    <cellStyle name="40% - Accent4 2 2 4 2 3 2 2" xfId="9456" xr:uid="{00000000-0005-0000-0000-0000732F0000}"/>
    <cellStyle name="40% - Accent4 2 2 4 2 3 2 3" xfId="23118" xr:uid="{00000000-0005-0000-0000-0000742F0000}"/>
    <cellStyle name="40% - Accent4 2 2 4 2 3 3" xfId="9457" xr:uid="{00000000-0005-0000-0000-0000752F0000}"/>
    <cellStyle name="40% - Accent4 2 2 4 2 3 4" xfId="20535" xr:uid="{00000000-0005-0000-0000-0000762F0000}"/>
    <cellStyle name="40% - Accent4 2 2 4 2 4" xfId="9458" xr:uid="{00000000-0005-0000-0000-0000772F0000}"/>
    <cellStyle name="40% - Accent4 2 2 4 2 4 2" xfId="9459" xr:uid="{00000000-0005-0000-0000-0000782F0000}"/>
    <cellStyle name="40% - Accent4 2 2 4 2 4 3" xfId="21828" xr:uid="{00000000-0005-0000-0000-0000792F0000}"/>
    <cellStyle name="40% - Accent4 2 2 4 2 5" xfId="9460" xr:uid="{00000000-0005-0000-0000-00007A2F0000}"/>
    <cellStyle name="40% - Accent4 2 2 4 2 6" xfId="19238" xr:uid="{00000000-0005-0000-0000-00007B2F0000}"/>
    <cellStyle name="40% - Accent4 2 2 4 3" xfId="9461" xr:uid="{00000000-0005-0000-0000-00007C2F0000}"/>
    <cellStyle name="40% - Accent4 2 2 4 3 2" xfId="9462" xr:uid="{00000000-0005-0000-0000-00007D2F0000}"/>
    <cellStyle name="40% - Accent4 2 2 4 3 2 2" xfId="9463" xr:uid="{00000000-0005-0000-0000-00007E2F0000}"/>
    <cellStyle name="40% - Accent4 2 2 4 3 2 2 2" xfId="9464" xr:uid="{00000000-0005-0000-0000-00007F2F0000}"/>
    <cellStyle name="40% - Accent4 2 2 4 3 2 2 3" xfId="23441" xr:uid="{00000000-0005-0000-0000-0000802F0000}"/>
    <cellStyle name="40% - Accent4 2 2 4 3 2 3" xfId="9465" xr:uid="{00000000-0005-0000-0000-0000812F0000}"/>
    <cellStyle name="40% - Accent4 2 2 4 3 2 4" xfId="20858" xr:uid="{00000000-0005-0000-0000-0000822F0000}"/>
    <cellStyle name="40% - Accent4 2 2 4 3 3" xfId="9466" xr:uid="{00000000-0005-0000-0000-0000832F0000}"/>
    <cellStyle name="40% - Accent4 2 2 4 3 3 2" xfId="9467" xr:uid="{00000000-0005-0000-0000-0000842F0000}"/>
    <cellStyle name="40% - Accent4 2 2 4 3 3 3" xfId="22151" xr:uid="{00000000-0005-0000-0000-0000852F0000}"/>
    <cellStyle name="40% - Accent4 2 2 4 3 4" xfId="9468" xr:uid="{00000000-0005-0000-0000-0000862F0000}"/>
    <cellStyle name="40% - Accent4 2 2 4 3 5" xfId="19564" xr:uid="{00000000-0005-0000-0000-0000872F0000}"/>
    <cellStyle name="40% - Accent4 2 2 4 4" xfId="9469" xr:uid="{00000000-0005-0000-0000-0000882F0000}"/>
    <cellStyle name="40% - Accent4 2 2 4 4 2" xfId="9470" xr:uid="{00000000-0005-0000-0000-0000892F0000}"/>
    <cellStyle name="40% - Accent4 2 2 4 4 2 2" xfId="9471" xr:uid="{00000000-0005-0000-0000-00008A2F0000}"/>
    <cellStyle name="40% - Accent4 2 2 4 4 2 3" xfId="22796" xr:uid="{00000000-0005-0000-0000-00008B2F0000}"/>
    <cellStyle name="40% - Accent4 2 2 4 4 3" xfId="9472" xr:uid="{00000000-0005-0000-0000-00008C2F0000}"/>
    <cellStyle name="40% - Accent4 2 2 4 4 4" xfId="20213" xr:uid="{00000000-0005-0000-0000-00008D2F0000}"/>
    <cellStyle name="40% - Accent4 2 2 4 5" xfId="9473" xr:uid="{00000000-0005-0000-0000-00008E2F0000}"/>
    <cellStyle name="40% - Accent4 2 2 4 5 2" xfId="9474" xr:uid="{00000000-0005-0000-0000-00008F2F0000}"/>
    <cellStyle name="40% - Accent4 2 2 4 5 3" xfId="21506" xr:uid="{00000000-0005-0000-0000-0000902F0000}"/>
    <cellStyle name="40% - Accent4 2 2 4 6" xfId="9475" xr:uid="{00000000-0005-0000-0000-0000912F0000}"/>
    <cellStyle name="40% - Accent4 2 2 4 7" xfId="18912" xr:uid="{00000000-0005-0000-0000-0000922F0000}"/>
    <cellStyle name="40% - Accent4 2 2 5" xfId="9476" xr:uid="{00000000-0005-0000-0000-0000932F0000}"/>
    <cellStyle name="40% - Accent4 2 2 5 2" xfId="9477" xr:uid="{00000000-0005-0000-0000-0000942F0000}"/>
    <cellStyle name="40% - Accent4 2 2 5 2 2" xfId="9478" xr:uid="{00000000-0005-0000-0000-0000952F0000}"/>
    <cellStyle name="40% - Accent4 2 2 5 2 2 2" xfId="9479" xr:uid="{00000000-0005-0000-0000-0000962F0000}"/>
    <cellStyle name="40% - Accent4 2 2 5 2 2 2 2" xfId="9480" xr:uid="{00000000-0005-0000-0000-0000972F0000}"/>
    <cellStyle name="40% - Accent4 2 2 5 2 2 2 3" xfId="23602" xr:uid="{00000000-0005-0000-0000-0000982F0000}"/>
    <cellStyle name="40% - Accent4 2 2 5 2 2 3" xfId="9481" xr:uid="{00000000-0005-0000-0000-0000992F0000}"/>
    <cellStyle name="40% - Accent4 2 2 5 2 2 4" xfId="21019" xr:uid="{00000000-0005-0000-0000-00009A2F0000}"/>
    <cellStyle name="40% - Accent4 2 2 5 2 3" xfId="9482" xr:uid="{00000000-0005-0000-0000-00009B2F0000}"/>
    <cellStyle name="40% - Accent4 2 2 5 2 3 2" xfId="9483" xr:uid="{00000000-0005-0000-0000-00009C2F0000}"/>
    <cellStyle name="40% - Accent4 2 2 5 2 3 3" xfId="22312" xr:uid="{00000000-0005-0000-0000-00009D2F0000}"/>
    <cellStyle name="40% - Accent4 2 2 5 2 4" xfId="9484" xr:uid="{00000000-0005-0000-0000-00009E2F0000}"/>
    <cellStyle name="40% - Accent4 2 2 5 2 5" xfId="19725" xr:uid="{00000000-0005-0000-0000-00009F2F0000}"/>
    <cellStyle name="40% - Accent4 2 2 5 3" xfId="9485" xr:uid="{00000000-0005-0000-0000-0000A02F0000}"/>
    <cellStyle name="40% - Accent4 2 2 5 3 2" xfId="9486" xr:uid="{00000000-0005-0000-0000-0000A12F0000}"/>
    <cellStyle name="40% - Accent4 2 2 5 3 2 2" xfId="9487" xr:uid="{00000000-0005-0000-0000-0000A22F0000}"/>
    <cellStyle name="40% - Accent4 2 2 5 3 2 3" xfId="22957" xr:uid="{00000000-0005-0000-0000-0000A32F0000}"/>
    <cellStyle name="40% - Accent4 2 2 5 3 3" xfId="9488" xr:uid="{00000000-0005-0000-0000-0000A42F0000}"/>
    <cellStyle name="40% - Accent4 2 2 5 3 4" xfId="20374" xr:uid="{00000000-0005-0000-0000-0000A52F0000}"/>
    <cellStyle name="40% - Accent4 2 2 5 4" xfId="9489" xr:uid="{00000000-0005-0000-0000-0000A62F0000}"/>
    <cellStyle name="40% - Accent4 2 2 5 4 2" xfId="9490" xr:uid="{00000000-0005-0000-0000-0000A72F0000}"/>
    <cellStyle name="40% - Accent4 2 2 5 4 3" xfId="21667" xr:uid="{00000000-0005-0000-0000-0000A82F0000}"/>
    <cellStyle name="40% - Accent4 2 2 5 5" xfId="9491" xr:uid="{00000000-0005-0000-0000-0000A92F0000}"/>
    <cellStyle name="40% - Accent4 2 2 5 6" xfId="19077" xr:uid="{00000000-0005-0000-0000-0000AA2F0000}"/>
    <cellStyle name="40% - Accent4 2 2 6" xfId="9492" xr:uid="{00000000-0005-0000-0000-0000AB2F0000}"/>
    <cellStyle name="40% - Accent4 2 2 6 2" xfId="9493" xr:uid="{00000000-0005-0000-0000-0000AC2F0000}"/>
    <cellStyle name="40% - Accent4 2 2 6 2 2" xfId="9494" xr:uid="{00000000-0005-0000-0000-0000AD2F0000}"/>
    <cellStyle name="40% - Accent4 2 2 6 2 2 2" xfId="9495" xr:uid="{00000000-0005-0000-0000-0000AE2F0000}"/>
    <cellStyle name="40% - Accent4 2 2 6 2 2 3" xfId="23279" xr:uid="{00000000-0005-0000-0000-0000AF2F0000}"/>
    <cellStyle name="40% - Accent4 2 2 6 2 3" xfId="9496" xr:uid="{00000000-0005-0000-0000-0000B02F0000}"/>
    <cellStyle name="40% - Accent4 2 2 6 2 4" xfId="20696" xr:uid="{00000000-0005-0000-0000-0000B12F0000}"/>
    <cellStyle name="40% - Accent4 2 2 6 3" xfId="9497" xr:uid="{00000000-0005-0000-0000-0000B22F0000}"/>
    <cellStyle name="40% - Accent4 2 2 6 3 2" xfId="9498" xr:uid="{00000000-0005-0000-0000-0000B32F0000}"/>
    <cellStyle name="40% - Accent4 2 2 6 3 3" xfId="21989" xr:uid="{00000000-0005-0000-0000-0000B42F0000}"/>
    <cellStyle name="40% - Accent4 2 2 6 4" xfId="9499" xr:uid="{00000000-0005-0000-0000-0000B52F0000}"/>
    <cellStyle name="40% - Accent4 2 2 6 5" xfId="19403" xr:uid="{00000000-0005-0000-0000-0000B62F0000}"/>
    <cellStyle name="40% - Accent4 2 2 7" xfId="9500" xr:uid="{00000000-0005-0000-0000-0000B72F0000}"/>
    <cellStyle name="40% - Accent4 2 2 7 2" xfId="9501" xr:uid="{00000000-0005-0000-0000-0000B82F0000}"/>
    <cellStyle name="40% - Accent4 2 2 7 2 2" xfId="9502" xr:uid="{00000000-0005-0000-0000-0000B92F0000}"/>
    <cellStyle name="40% - Accent4 2 2 7 2 3" xfId="22634" xr:uid="{00000000-0005-0000-0000-0000BA2F0000}"/>
    <cellStyle name="40% - Accent4 2 2 7 3" xfId="9503" xr:uid="{00000000-0005-0000-0000-0000BB2F0000}"/>
    <cellStyle name="40% - Accent4 2 2 7 4" xfId="20051" xr:uid="{00000000-0005-0000-0000-0000BC2F0000}"/>
    <cellStyle name="40% - Accent4 2 2 8" xfId="9504" xr:uid="{00000000-0005-0000-0000-0000BD2F0000}"/>
    <cellStyle name="40% - Accent4 2 2 8 2" xfId="9505" xr:uid="{00000000-0005-0000-0000-0000BE2F0000}"/>
    <cellStyle name="40% - Accent4 2 2 8 3" xfId="21344" xr:uid="{00000000-0005-0000-0000-0000BF2F0000}"/>
    <cellStyle name="40% - Accent4 2 2 9" xfId="9506" xr:uid="{00000000-0005-0000-0000-0000C02F0000}"/>
    <cellStyle name="40% - Accent4 2 3" xfId="9507" xr:uid="{00000000-0005-0000-0000-0000C12F0000}"/>
    <cellStyle name="40% - Accent4 2 3 2" xfId="9508" xr:uid="{00000000-0005-0000-0000-0000C22F0000}"/>
    <cellStyle name="40% - Accent4 2 3 2 2" xfId="9509" xr:uid="{00000000-0005-0000-0000-0000C32F0000}"/>
    <cellStyle name="40% - Accent4 2 3 2 2 2" xfId="9510" xr:uid="{00000000-0005-0000-0000-0000C42F0000}"/>
    <cellStyle name="40% - Accent4 2 3 2 2 2 2" xfId="9511" xr:uid="{00000000-0005-0000-0000-0000C52F0000}"/>
    <cellStyle name="40% - Accent4 2 3 2 2 2 2 2" xfId="9512" xr:uid="{00000000-0005-0000-0000-0000C62F0000}"/>
    <cellStyle name="40% - Accent4 2 3 2 2 2 2 2 2" xfId="9513" xr:uid="{00000000-0005-0000-0000-0000C72F0000}"/>
    <cellStyle name="40% - Accent4 2 3 2 2 2 2 2 2 2" xfId="9514" xr:uid="{00000000-0005-0000-0000-0000C82F0000}"/>
    <cellStyle name="40% - Accent4 2 3 2 2 2 2 2 2 3" xfId="23863" xr:uid="{00000000-0005-0000-0000-0000C92F0000}"/>
    <cellStyle name="40% - Accent4 2 3 2 2 2 2 2 3" xfId="9515" xr:uid="{00000000-0005-0000-0000-0000CA2F0000}"/>
    <cellStyle name="40% - Accent4 2 3 2 2 2 2 2 4" xfId="21280" xr:uid="{00000000-0005-0000-0000-0000CB2F0000}"/>
    <cellStyle name="40% - Accent4 2 3 2 2 2 2 3" xfId="9516" xr:uid="{00000000-0005-0000-0000-0000CC2F0000}"/>
    <cellStyle name="40% - Accent4 2 3 2 2 2 2 3 2" xfId="9517" xr:uid="{00000000-0005-0000-0000-0000CD2F0000}"/>
    <cellStyle name="40% - Accent4 2 3 2 2 2 2 3 3" xfId="22573" xr:uid="{00000000-0005-0000-0000-0000CE2F0000}"/>
    <cellStyle name="40% - Accent4 2 3 2 2 2 2 4" xfId="9518" xr:uid="{00000000-0005-0000-0000-0000CF2F0000}"/>
    <cellStyle name="40% - Accent4 2 3 2 2 2 2 5" xfId="19986" xr:uid="{00000000-0005-0000-0000-0000D02F0000}"/>
    <cellStyle name="40% - Accent4 2 3 2 2 2 3" xfId="9519" xr:uid="{00000000-0005-0000-0000-0000D12F0000}"/>
    <cellStyle name="40% - Accent4 2 3 2 2 2 3 2" xfId="9520" xr:uid="{00000000-0005-0000-0000-0000D22F0000}"/>
    <cellStyle name="40% - Accent4 2 3 2 2 2 3 2 2" xfId="9521" xr:uid="{00000000-0005-0000-0000-0000D32F0000}"/>
    <cellStyle name="40% - Accent4 2 3 2 2 2 3 2 3" xfId="23218" xr:uid="{00000000-0005-0000-0000-0000D42F0000}"/>
    <cellStyle name="40% - Accent4 2 3 2 2 2 3 3" xfId="9522" xr:uid="{00000000-0005-0000-0000-0000D52F0000}"/>
    <cellStyle name="40% - Accent4 2 3 2 2 2 3 4" xfId="20635" xr:uid="{00000000-0005-0000-0000-0000D62F0000}"/>
    <cellStyle name="40% - Accent4 2 3 2 2 2 4" xfId="9523" xr:uid="{00000000-0005-0000-0000-0000D72F0000}"/>
    <cellStyle name="40% - Accent4 2 3 2 2 2 4 2" xfId="9524" xr:uid="{00000000-0005-0000-0000-0000D82F0000}"/>
    <cellStyle name="40% - Accent4 2 3 2 2 2 4 3" xfId="21928" xr:uid="{00000000-0005-0000-0000-0000D92F0000}"/>
    <cellStyle name="40% - Accent4 2 3 2 2 2 5" xfId="9525" xr:uid="{00000000-0005-0000-0000-0000DA2F0000}"/>
    <cellStyle name="40% - Accent4 2 3 2 2 2 6" xfId="19338" xr:uid="{00000000-0005-0000-0000-0000DB2F0000}"/>
    <cellStyle name="40% - Accent4 2 3 2 2 3" xfId="9526" xr:uid="{00000000-0005-0000-0000-0000DC2F0000}"/>
    <cellStyle name="40% - Accent4 2 3 2 2 3 2" xfId="9527" xr:uid="{00000000-0005-0000-0000-0000DD2F0000}"/>
    <cellStyle name="40% - Accent4 2 3 2 2 3 2 2" xfId="9528" xr:uid="{00000000-0005-0000-0000-0000DE2F0000}"/>
    <cellStyle name="40% - Accent4 2 3 2 2 3 2 2 2" xfId="9529" xr:uid="{00000000-0005-0000-0000-0000DF2F0000}"/>
    <cellStyle name="40% - Accent4 2 3 2 2 3 2 2 3" xfId="23541" xr:uid="{00000000-0005-0000-0000-0000E02F0000}"/>
    <cellStyle name="40% - Accent4 2 3 2 2 3 2 3" xfId="9530" xr:uid="{00000000-0005-0000-0000-0000E12F0000}"/>
    <cellStyle name="40% - Accent4 2 3 2 2 3 2 4" xfId="20958" xr:uid="{00000000-0005-0000-0000-0000E22F0000}"/>
    <cellStyle name="40% - Accent4 2 3 2 2 3 3" xfId="9531" xr:uid="{00000000-0005-0000-0000-0000E32F0000}"/>
    <cellStyle name="40% - Accent4 2 3 2 2 3 3 2" xfId="9532" xr:uid="{00000000-0005-0000-0000-0000E42F0000}"/>
    <cellStyle name="40% - Accent4 2 3 2 2 3 3 3" xfId="22251" xr:uid="{00000000-0005-0000-0000-0000E52F0000}"/>
    <cellStyle name="40% - Accent4 2 3 2 2 3 4" xfId="9533" xr:uid="{00000000-0005-0000-0000-0000E62F0000}"/>
    <cellStyle name="40% - Accent4 2 3 2 2 3 5" xfId="19664" xr:uid="{00000000-0005-0000-0000-0000E72F0000}"/>
    <cellStyle name="40% - Accent4 2 3 2 2 4" xfId="9534" xr:uid="{00000000-0005-0000-0000-0000E82F0000}"/>
    <cellStyle name="40% - Accent4 2 3 2 2 4 2" xfId="9535" xr:uid="{00000000-0005-0000-0000-0000E92F0000}"/>
    <cellStyle name="40% - Accent4 2 3 2 2 4 2 2" xfId="9536" xr:uid="{00000000-0005-0000-0000-0000EA2F0000}"/>
    <cellStyle name="40% - Accent4 2 3 2 2 4 2 3" xfId="22896" xr:uid="{00000000-0005-0000-0000-0000EB2F0000}"/>
    <cellStyle name="40% - Accent4 2 3 2 2 4 3" xfId="9537" xr:uid="{00000000-0005-0000-0000-0000EC2F0000}"/>
    <cellStyle name="40% - Accent4 2 3 2 2 4 4" xfId="20313" xr:uid="{00000000-0005-0000-0000-0000ED2F0000}"/>
    <cellStyle name="40% - Accent4 2 3 2 2 5" xfId="9538" xr:uid="{00000000-0005-0000-0000-0000EE2F0000}"/>
    <cellStyle name="40% - Accent4 2 3 2 2 5 2" xfId="9539" xr:uid="{00000000-0005-0000-0000-0000EF2F0000}"/>
    <cellStyle name="40% - Accent4 2 3 2 2 5 3" xfId="21606" xr:uid="{00000000-0005-0000-0000-0000F02F0000}"/>
    <cellStyle name="40% - Accent4 2 3 2 2 6" xfId="9540" xr:uid="{00000000-0005-0000-0000-0000F12F0000}"/>
    <cellStyle name="40% - Accent4 2 3 2 2 7" xfId="19012" xr:uid="{00000000-0005-0000-0000-0000F22F0000}"/>
    <cellStyle name="40% - Accent4 2 3 2 3" xfId="9541" xr:uid="{00000000-0005-0000-0000-0000F32F0000}"/>
    <cellStyle name="40% - Accent4 2 3 2 3 2" xfId="9542" xr:uid="{00000000-0005-0000-0000-0000F42F0000}"/>
    <cellStyle name="40% - Accent4 2 3 2 3 2 2" xfId="9543" xr:uid="{00000000-0005-0000-0000-0000F52F0000}"/>
    <cellStyle name="40% - Accent4 2 3 2 3 2 2 2" xfId="9544" xr:uid="{00000000-0005-0000-0000-0000F62F0000}"/>
    <cellStyle name="40% - Accent4 2 3 2 3 2 2 2 2" xfId="9545" xr:uid="{00000000-0005-0000-0000-0000F72F0000}"/>
    <cellStyle name="40% - Accent4 2 3 2 3 2 2 2 3" xfId="23702" xr:uid="{00000000-0005-0000-0000-0000F82F0000}"/>
    <cellStyle name="40% - Accent4 2 3 2 3 2 2 3" xfId="9546" xr:uid="{00000000-0005-0000-0000-0000F92F0000}"/>
    <cellStyle name="40% - Accent4 2 3 2 3 2 2 4" xfId="21119" xr:uid="{00000000-0005-0000-0000-0000FA2F0000}"/>
    <cellStyle name="40% - Accent4 2 3 2 3 2 3" xfId="9547" xr:uid="{00000000-0005-0000-0000-0000FB2F0000}"/>
    <cellStyle name="40% - Accent4 2 3 2 3 2 3 2" xfId="9548" xr:uid="{00000000-0005-0000-0000-0000FC2F0000}"/>
    <cellStyle name="40% - Accent4 2 3 2 3 2 3 3" xfId="22412" xr:uid="{00000000-0005-0000-0000-0000FD2F0000}"/>
    <cellStyle name="40% - Accent4 2 3 2 3 2 4" xfId="9549" xr:uid="{00000000-0005-0000-0000-0000FE2F0000}"/>
    <cellStyle name="40% - Accent4 2 3 2 3 2 5" xfId="19825" xr:uid="{00000000-0005-0000-0000-0000FF2F0000}"/>
    <cellStyle name="40% - Accent4 2 3 2 3 3" xfId="9550" xr:uid="{00000000-0005-0000-0000-000000300000}"/>
    <cellStyle name="40% - Accent4 2 3 2 3 3 2" xfId="9551" xr:uid="{00000000-0005-0000-0000-000001300000}"/>
    <cellStyle name="40% - Accent4 2 3 2 3 3 2 2" xfId="9552" xr:uid="{00000000-0005-0000-0000-000002300000}"/>
    <cellStyle name="40% - Accent4 2 3 2 3 3 2 3" xfId="23057" xr:uid="{00000000-0005-0000-0000-000003300000}"/>
    <cellStyle name="40% - Accent4 2 3 2 3 3 3" xfId="9553" xr:uid="{00000000-0005-0000-0000-000004300000}"/>
    <cellStyle name="40% - Accent4 2 3 2 3 3 4" xfId="20474" xr:uid="{00000000-0005-0000-0000-000005300000}"/>
    <cellStyle name="40% - Accent4 2 3 2 3 4" xfId="9554" xr:uid="{00000000-0005-0000-0000-000006300000}"/>
    <cellStyle name="40% - Accent4 2 3 2 3 4 2" xfId="9555" xr:uid="{00000000-0005-0000-0000-000007300000}"/>
    <cellStyle name="40% - Accent4 2 3 2 3 4 3" xfId="21767" xr:uid="{00000000-0005-0000-0000-000008300000}"/>
    <cellStyle name="40% - Accent4 2 3 2 3 5" xfId="9556" xr:uid="{00000000-0005-0000-0000-000009300000}"/>
    <cellStyle name="40% - Accent4 2 3 2 3 6" xfId="19177" xr:uid="{00000000-0005-0000-0000-00000A300000}"/>
    <cellStyle name="40% - Accent4 2 3 2 4" xfId="9557" xr:uid="{00000000-0005-0000-0000-00000B300000}"/>
    <cellStyle name="40% - Accent4 2 3 2 4 2" xfId="9558" xr:uid="{00000000-0005-0000-0000-00000C300000}"/>
    <cellStyle name="40% - Accent4 2 3 2 4 2 2" xfId="9559" xr:uid="{00000000-0005-0000-0000-00000D300000}"/>
    <cellStyle name="40% - Accent4 2 3 2 4 2 2 2" xfId="9560" xr:uid="{00000000-0005-0000-0000-00000E300000}"/>
    <cellStyle name="40% - Accent4 2 3 2 4 2 2 3" xfId="23380" xr:uid="{00000000-0005-0000-0000-00000F300000}"/>
    <cellStyle name="40% - Accent4 2 3 2 4 2 3" xfId="9561" xr:uid="{00000000-0005-0000-0000-000010300000}"/>
    <cellStyle name="40% - Accent4 2 3 2 4 2 4" xfId="20797" xr:uid="{00000000-0005-0000-0000-000011300000}"/>
    <cellStyle name="40% - Accent4 2 3 2 4 3" xfId="9562" xr:uid="{00000000-0005-0000-0000-000012300000}"/>
    <cellStyle name="40% - Accent4 2 3 2 4 3 2" xfId="9563" xr:uid="{00000000-0005-0000-0000-000013300000}"/>
    <cellStyle name="40% - Accent4 2 3 2 4 3 3" xfId="22090" xr:uid="{00000000-0005-0000-0000-000014300000}"/>
    <cellStyle name="40% - Accent4 2 3 2 4 4" xfId="9564" xr:uid="{00000000-0005-0000-0000-000015300000}"/>
    <cellStyle name="40% - Accent4 2 3 2 4 5" xfId="19503" xr:uid="{00000000-0005-0000-0000-000016300000}"/>
    <cellStyle name="40% - Accent4 2 3 2 5" xfId="9565" xr:uid="{00000000-0005-0000-0000-000017300000}"/>
    <cellStyle name="40% - Accent4 2 3 2 5 2" xfId="9566" xr:uid="{00000000-0005-0000-0000-000018300000}"/>
    <cellStyle name="40% - Accent4 2 3 2 5 2 2" xfId="9567" xr:uid="{00000000-0005-0000-0000-000019300000}"/>
    <cellStyle name="40% - Accent4 2 3 2 5 2 3" xfId="22735" xr:uid="{00000000-0005-0000-0000-00001A300000}"/>
    <cellStyle name="40% - Accent4 2 3 2 5 3" xfId="9568" xr:uid="{00000000-0005-0000-0000-00001B300000}"/>
    <cellStyle name="40% - Accent4 2 3 2 5 4" xfId="20152" xr:uid="{00000000-0005-0000-0000-00001C300000}"/>
    <cellStyle name="40% - Accent4 2 3 2 6" xfId="9569" xr:uid="{00000000-0005-0000-0000-00001D300000}"/>
    <cellStyle name="40% - Accent4 2 3 2 6 2" xfId="9570" xr:uid="{00000000-0005-0000-0000-00001E300000}"/>
    <cellStyle name="40% - Accent4 2 3 2 6 3" xfId="21445" xr:uid="{00000000-0005-0000-0000-00001F300000}"/>
    <cellStyle name="40% - Accent4 2 3 2 7" xfId="9571" xr:uid="{00000000-0005-0000-0000-000020300000}"/>
    <cellStyle name="40% - Accent4 2 3 2 8" xfId="18847" xr:uid="{00000000-0005-0000-0000-000021300000}"/>
    <cellStyle name="40% - Accent4 2 3 3" xfId="9572" xr:uid="{00000000-0005-0000-0000-000022300000}"/>
    <cellStyle name="40% - Accent4 2 3 3 2" xfId="9573" xr:uid="{00000000-0005-0000-0000-000023300000}"/>
    <cellStyle name="40% - Accent4 2 3 3 2 2" xfId="9574" xr:uid="{00000000-0005-0000-0000-000024300000}"/>
    <cellStyle name="40% - Accent4 2 3 3 2 2 2" xfId="9575" xr:uid="{00000000-0005-0000-0000-000025300000}"/>
    <cellStyle name="40% - Accent4 2 3 3 2 2 2 2" xfId="9576" xr:uid="{00000000-0005-0000-0000-000026300000}"/>
    <cellStyle name="40% - Accent4 2 3 3 2 2 2 2 2" xfId="9577" xr:uid="{00000000-0005-0000-0000-000027300000}"/>
    <cellStyle name="40% - Accent4 2 3 3 2 2 2 2 3" xfId="23783" xr:uid="{00000000-0005-0000-0000-000028300000}"/>
    <cellStyle name="40% - Accent4 2 3 3 2 2 2 3" xfId="9578" xr:uid="{00000000-0005-0000-0000-000029300000}"/>
    <cellStyle name="40% - Accent4 2 3 3 2 2 2 4" xfId="21200" xr:uid="{00000000-0005-0000-0000-00002A300000}"/>
    <cellStyle name="40% - Accent4 2 3 3 2 2 3" xfId="9579" xr:uid="{00000000-0005-0000-0000-00002B300000}"/>
    <cellStyle name="40% - Accent4 2 3 3 2 2 3 2" xfId="9580" xr:uid="{00000000-0005-0000-0000-00002C300000}"/>
    <cellStyle name="40% - Accent4 2 3 3 2 2 3 3" xfId="22493" xr:uid="{00000000-0005-0000-0000-00002D300000}"/>
    <cellStyle name="40% - Accent4 2 3 3 2 2 4" xfId="9581" xr:uid="{00000000-0005-0000-0000-00002E300000}"/>
    <cellStyle name="40% - Accent4 2 3 3 2 2 5" xfId="19906" xr:uid="{00000000-0005-0000-0000-00002F300000}"/>
    <cellStyle name="40% - Accent4 2 3 3 2 3" xfId="9582" xr:uid="{00000000-0005-0000-0000-000030300000}"/>
    <cellStyle name="40% - Accent4 2 3 3 2 3 2" xfId="9583" xr:uid="{00000000-0005-0000-0000-000031300000}"/>
    <cellStyle name="40% - Accent4 2 3 3 2 3 2 2" xfId="9584" xr:uid="{00000000-0005-0000-0000-000032300000}"/>
    <cellStyle name="40% - Accent4 2 3 3 2 3 2 3" xfId="23138" xr:uid="{00000000-0005-0000-0000-000033300000}"/>
    <cellStyle name="40% - Accent4 2 3 3 2 3 3" xfId="9585" xr:uid="{00000000-0005-0000-0000-000034300000}"/>
    <cellStyle name="40% - Accent4 2 3 3 2 3 4" xfId="20555" xr:uid="{00000000-0005-0000-0000-000035300000}"/>
    <cellStyle name="40% - Accent4 2 3 3 2 4" xfId="9586" xr:uid="{00000000-0005-0000-0000-000036300000}"/>
    <cellStyle name="40% - Accent4 2 3 3 2 4 2" xfId="9587" xr:uid="{00000000-0005-0000-0000-000037300000}"/>
    <cellStyle name="40% - Accent4 2 3 3 2 4 3" xfId="21848" xr:uid="{00000000-0005-0000-0000-000038300000}"/>
    <cellStyle name="40% - Accent4 2 3 3 2 5" xfId="9588" xr:uid="{00000000-0005-0000-0000-000039300000}"/>
    <cellStyle name="40% - Accent4 2 3 3 2 6" xfId="19258" xr:uid="{00000000-0005-0000-0000-00003A300000}"/>
    <cellStyle name="40% - Accent4 2 3 3 3" xfId="9589" xr:uid="{00000000-0005-0000-0000-00003B300000}"/>
    <cellStyle name="40% - Accent4 2 3 3 3 2" xfId="9590" xr:uid="{00000000-0005-0000-0000-00003C300000}"/>
    <cellStyle name="40% - Accent4 2 3 3 3 2 2" xfId="9591" xr:uid="{00000000-0005-0000-0000-00003D300000}"/>
    <cellStyle name="40% - Accent4 2 3 3 3 2 2 2" xfId="9592" xr:uid="{00000000-0005-0000-0000-00003E300000}"/>
    <cellStyle name="40% - Accent4 2 3 3 3 2 2 3" xfId="23461" xr:uid="{00000000-0005-0000-0000-00003F300000}"/>
    <cellStyle name="40% - Accent4 2 3 3 3 2 3" xfId="9593" xr:uid="{00000000-0005-0000-0000-000040300000}"/>
    <cellStyle name="40% - Accent4 2 3 3 3 2 4" xfId="20878" xr:uid="{00000000-0005-0000-0000-000041300000}"/>
    <cellStyle name="40% - Accent4 2 3 3 3 3" xfId="9594" xr:uid="{00000000-0005-0000-0000-000042300000}"/>
    <cellStyle name="40% - Accent4 2 3 3 3 3 2" xfId="9595" xr:uid="{00000000-0005-0000-0000-000043300000}"/>
    <cellStyle name="40% - Accent4 2 3 3 3 3 3" xfId="22171" xr:uid="{00000000-0005-0000-0000-000044300000}"/>
    <cellStyle name="40% - Accent4 2 3 3 3 4" xfId="9596" xr:uid="{00000000-0005-0000-0000-000045300000}"/>
    <cellStyle name="40% - Accent4 2 3 3 3 5" xfId="19584" xr:uid="{00000000-0005-0000-0000-000046300000}"/>
    <cellStyle name="40% - Accent4 2 3 3 4" xfId="9597" xr:uid="{00000000-0005-0000-0000-000047300000}"/>
    <cellStyle name="40% - Accent4 2 3 3 4 2" xfId="9598" xr:uid="{00000000-0005-0000-0000-000048300000}"/>
    <cellStyle name="40% - Accent4 2 3 3 4 2 2" xfId="9599" xr:uid="{00000000-0005-0000-0000-000049300000}"/>
    <cellStyle name="40% - Accent4 2 3 3 4 2 3" xfId="22816" xr:uid="{00000000-0005-0000-0000-00004A300000}"/>
    <cellStyle name="40% - Accent4 2 3 3 4 3" xfId="9600" xr:uid="{00000000-0005-0000-0000-00004B300000}"/>
    <cellStyle name="40% - Accent4 2 3 3 4 4" xfId="20233" xr:uid="{00000000-0005-0000-0000-00004C300000}"/>
    <cellStyle name="40% - Accent4 2 3 3 5" xfId="9601" xr:uid="{00000000-0005-0000-0000-00004D300000}"/>
    <cellStyle name="40% - Accent4 2 3 3 5 2" xfId="9602" xr:uid="{00000000-0005-0000-0000-00004E300000}"/>
    <cellStyle name="40% - Accent4 2 3 3 5 3" xfId="21526" xr:uid="{00000000-0005-0000-0000-00004F300000}"/>
    <cellStyle name="40% - Accent4 2 3 3 6" xfId="9603" xr:uid="{00000000-0005-0000-0000-000050300000}"/>
    <cellStyle name="40% - Accent4 2 3 3 7" xfId="18932" xr:uid="{00000000-0005-0000-0000-000051300000}"/>
    <cellStyle name="40% - Accent4 2 3 4" xfId="9604" xr:uid="{00000000-0005-0000-0000-000052300000}"/>
    <cellStyle name="40% - Accent4 2 3 4 2" xfId="9605" xr:uid="{00000000-0005-0000-0000-000053300000}"/>
    <cellStyle name="40% - Accent4 2 3 4 2 2" xfId="9606" xr:uid="{00000000-0005-0000-0000-000054300000}"/>
    <cellStyle name="40% - Accent4 2 3 4 2 2 2" xfId="9607" xr:uid="{00000000-0005-0000-0000-000055300000}"/>
    <cellStyle name="40% - Accent4 2 3 4 2 2 2 2" xfId="9608" xr:uid="{00000000-0005-0000-0000-000056300000}"/>
    <cellStyle name="40% - Accent4 2 3 4 2 2 2 3" xfId="23622" xr:uid="{00000000-0005-0000-0000-000057300000}"/>
    <cellStyle name="40% - Accent4 2 3 4 2 2 3" xfId="9609" xr:uid="{00000000-0005-0000-0000-000058300000}"/>
    <cellStyle name="40% - Accent4 2 3 4 2 2 4" xfId="21039" xr:uid="{00000000-0005-0000-0000-000059300000}"/>
    <cellStyle name="40% - Accent4 2 3 4 2 3" xfId="9610" xr:uid="{00000000-0005-0000-0000-00005A300000}"/>
    <cellStyle name="40% - Accent4 2 3 4 2 3 2" xfId="9611" xr:uid="{00000000-0005-0000-0000-00005B300000}"/>
    <cellStyle name="40% - Accent4 2 3 4 2 3 3" xfId="22332" xr:uid="{00000000-0005-0000-0000-00005C300000}"/>
    <cellStyle name="40% - Accent4 2 3 4 2 4" xfId="9612" xr:uid="{00000000-0005-0000-0000-00005D300000}"/>
    <cellStyle name="40% - Accent4 2 3 4 2 5" xfId="19745" xr:uid="{00000000-0005-0000-0000-00005E300000}"/>
    <cellStyle name="40% - Accent4 2 3 4 3" xfId="9613" xr:uid="{00000000-0005-0000-0000-00005F300000}"/>
    <cellStyle name="40% - Accent4 2 3 4 3 2" xfId="9614" xr:uid="{00000000-0005-0000-0000-000060300000}"/>
    <cellStyle name="40% - Accent4 2 3 4 3 2 2" xfId="9615" xr:uid="{00000000-0005-0000-0000-000061300000}"/>
    <cellStyle name="40% - Accent4 2 3 4 3 2 3" xfId="22977" xr:uid="{00000000-0005-0000-0000-000062300000}"/>
    <cellStyle name="40% - Accent4 2 3 4 3 3" xfId="9616" xr:uid="{00000000-0005-0000-0000-000063300000}"/>
    <cellStyle name="40% - Accent4 2 3 4 3 4" xfId="20394" xr:uid="{00000000-0005-0000-0000-000064300000}"/>
    <cellStyle name="40% - Accent4 2 3 4 4" xfId="9617" xr:uid="{00000000-0005-0000-0000-000065300000}"/>
    <cellStyle name="40% - Accent4 2 3 4 4 2" xfId="9618" xr:uid="{00000000-0005-0000-0000-000066300000}"/>
    <cellStyle name="40% - Accent4 2 3 4 4 3" xfId="21687" xr:uid="{00000000-0005-0000-0000-000067300000}"/>
    <cellStyle name="40% - Accent4 2 3 4 5" xfId="9619" xr:uid="{00000000-0005-0000-0000-000068300000}"/>
    <cellStyle name="40% - Accent4 2 3 4 6" xfId="19097" xr:uid="{00000000-0005-0000-0000-000069300000}"/>
    <cellStyle name="40% - Accent4 2 3 5" xfId="9620" xr:uid="{00000000-0005-0000-0000-00006A300000}"/>
    <cellStyle name="40% - Accent4 2 3 5 2" xfId="9621" xr:uid="{00000000-0005-0000-0000-00006B300000}"/>
    <cellStyle name="40% - Accent4 2 3 5 2 2" xfId="9622" xr:uid="{00000000-0005-0000-0000-00006C300000}"/>
    <cellStyle name="40% - Accent4 2 3 5 2 2 2" xfId="9623" xr:uid="{00000000-0005-0000-0000-00006D300000}"/>
    <cellStyle name="40% - Accent4 2 3 5 2 2 3" xfId="23299" xr:uid="{00000000-0005-0000-0000-00006E300000}"/>
    <cellStyle name="40% - Accent4 2 3 5 2 3" xfId="9624" xr:uid="{00000000-0005-0000-0000-00006F300000}"/>
    <cellStyle name="40% - Accent4 2 3 5 2 4" xfId="20716" xr:uid="{00000000-0005-0000-0000-000070300000}"/>
    <cellStyle name="40% - Accent4 2 3 5 3" xfId="9625" xr:uid="{00000000-0005-0000-0000-000071300000}"/>
    <cellStyle name="40% - Accent4 2 3 5 3 2" xfId="9626" xr:uid="{00000000-0005-0000-0000-000072300000}"/>
    <cellStyle name="40% - Accent4 2 3 5 3 3" xfId="22009" xr:uid="{00000000-0005-0000-0000-000073300000}"/>
    <cellStyle name="40% - Accent4 2 3 5 4" xfId="9627" xr:uid="{00000000-0005-0000-0000-000074300000}"/>
    <cellStyle name="40% - Accent4 2 3 5 5" xfId="19423" xr:uid="{00000000-0005-0000-0000-000075300000}"/>
    <cellStyle name="40% - Accent4 2 3 6" xfId="9628" xr:uid="{00000000-0005-0000-0000-000076300000}"/>
    <cellStyle name="40% - Accent4 2 3 6 2" xfId="9629" xr:uid="{00000000-0005-0000-0000-000077300000}"/>
    <cellStyle name="40% - Accent4 2 3 6 2 2" xfId="9630" xr:uid="{00000000-0005-0000-0000-000078300000}"/>
    <cellStyle name="40% - Accent4 2 3 6 2 3" xfId="22654" xr:uid="{00000000-0005-0000-0000-000079300000}"/>
    <cellStyle name="40% - Accent4 2 3 6 3" xfId="9631" xr:uid="{00000000-0005-0000-0000-00007A300000}"/>
    <cellStyle name="40% - Accent4 2 3 6 4" xfId="20071" xr:uid="{00000000-0005-0000-0000-00007B300000}"/>
    <cellStyle name="40% - Accent4 2 3 7" xfId="9632" xr:uid="{00000000-0005-0000-0000-00007C300000}"/>
    <cellStyle name="40% - Accent4 2 3 7 2" xfId="9633" xr:uid="{00000000-0005-0000-0000-00007D300000}"/>
    <cellStyle name="40% - Accent4 2 3 7 3" xfId="21364" xr:uid="{00000000-0005-0000-0000-00007E300000}"/>
    <cellStyle name="40% - Accent4 2 3 8" xfId="9634" xr:uid="{00000000-0005-0000-0000-00007F300000}"/>
    <cellStyle name="40% - Accent4 2 3 9" xfId="18750" xr:uid="{00000000-0005-0000-0000-000080300000}"/>
    <cellStyle name="40% - Accent4 2 4" xfId="9635" xr:uid="{00000000-0005-0000-0000-000081300000}"/>
    <cellStyle name="40% - Accent4 2 4 2" xfId="9636" xr:uid="{00000000-0005-0000-0000-000082300000}"/>
    <cellStyle name="40% - Accent4 2 4 2 2" xfId="9637" xr:uid="{00000000-0005-0000-0000-000083300000}"/>
    <cellStyle name="40% - Accent4 2 4 2 2 2" xfId="9638" xr:uid="{00000000-0005-0000-0000-000084300000}"/>
    <cellStyle name="40% - Accent4 2 4 2 2 2 2" xfId="9639" xr:uid="{00000000-0005-0000-0000-000085300000}"/>
    <cellStyle name="40% - Accent4 2 4 2 2 2 2 2" xfId="9640" xr:uid="{00000000-0005-0000-0000-000086300000}"/>
    <cellStyle name="40% - Accent4 2 4 2 2 2 2 2 2" xfId="9641" xr:uid="{00000000-0005-0000-0000-000087300000}"/>
    <cellStyle name="40% - Accent4 2 4 2 2 2 2 2 3" xfId="23823" xr:uid="{00000000-0005-0000-0000-000088300000}"/>
    <cellStyle name="40% - Accent4 2 4 2 2 2 2 3" xfId="9642" xr:uid="{00000000-0005-0000-0000-000089300000}"/>
    <cellStyle name="40% - Accent4 2 4 2 2 2 2 4" xfId="21240" xr:uid="{00000000-0005-0000-0000-00008A300000}"/>
    <cellStyle name="40% - Accent4 2 4 2 2 2 3" xfId="9643" xr:uid="{00000000-0005-0000-0000-00008B300000}"/>
    <cellStyle name="40% - Accent4 2 4 2 2 2 3 2" xfId="9644" xr:uid="{00000000-0005-0000-0000-00008C300000}"/>
    <cellStyle name="40% - Accent4 2 4 2 2 2 3 3" xfId="22533" xr:uid="{00000000-0005-0000-0000-00008D300000}"/>
    <cellStyle name="40% - Accent4 2 4 2 2 2 4" xfId="9645" xr:uid="{00000000-0005-0000-0000-00008E300000}"/>
    <cellStyle name="40% - Accent4 2 4 2 2 2 5" xfId="19946" xr:uid="{00000000-0005-0000-0000-00008F300000}"/>
    <cellStyle name="40% - Accent4 2 4 2 2 3" xfId="9646" xr:uid="{00000000-0005-0000-0000-000090300000}"/>
    <cellStyle name="40% - Accent4 2 4 2 2 3 2" xfId="9647" xr:uid="{00000000-0005-0000-0000-000091300000}"/>
    <cellStyle name="40% - Accent4 2 4 2 2 3 2 2" xfId="9648" xr:uid="{00000000-0005-0000-0000-000092300000}"/>
    <cellStyle name="40% - Accent4 2 4 2 2 3 2 3" xfId="23178" xr:uid="{00000000-0005-0000-0000-000093300000}"/>
    <cellStyle name="40% - Accent4 2 4 2 2 3 3" xfId="9649" xr:uid="{00000000-0005-0000-0000-000094300000}"/>
    <cellStyle name="40% - Accent4 2 4 2 2 3 4" xfId="20595" xr:uid="{00000000-0005-0000-0000-000095300000}"/>
    <cellStyle name="40% - Accent4 2 4 2 2 4" xfId="9650" xr:uid="{00000000-0005-0000-0000-000096300000}"/>
    <cellStyle name="40% - Accent4 2 4 2 2 4 2" xfId="9651" xr:uid="{00000000-0005-0000-0000-000097300000}"/>
    <cellStyle name="40% - Accent4 2 4 2 2 4 3" xfId="21888" xr:uid="{00000000-0005-0000-0000-000098300000}"/>
    <cellStyle name="40% - Accent4 2 4 2 2 5" xfId="9652" xr:uid="{00000000-0005-0000-0000-000099300000}"/>
    <cellStyle name="40% - Accent4 2 4 2 2 6" xfId="19298" xr:uid="{00000000-0005-0000-0000-00009A300000}"/>
    <cellStyle name="40% - Accent4 2 4 2 3" xfId="9653" xr:uid="{00000000-0005-0000-0000-00009B300000}"/>
    <cellStyle name="40% - Accent4 2 4 2 3 2" xfId="9654" xr:uid="{00000000-0005-0000-0000-00009C300000}"/>
    <cellStyle name="40% - Accent4 2 4 2 3 2 2" xfId="9655" xr:uid="{00000000-0005-0000-0000-00009D300000}"/>
    <cellStyle name="40% - Accent4 2 4 2 3 2 2 2" xfId="9656" xr:uid="{00000000-0005-0000-0000-00009E300000}"/>
    <cellStyle name="40% - Accent4 2 4 2 3 2 2 3" xfId="23501" xr:uid="{00000000-0005-0000-0000-00009F300000}"/>
    <cellStyle name="40% - Accent4 2 4 2 3 2 3" xfId="9657" xr:uid="{00000000-0005-0000-0000-0000A0300000}"/>
    <cellStyle name="40% - Accent4 2 4 2 3 2 4" xfId="20918" xr:uid="{00000000-0005-0000-0000-0000A1300000}"/>
    <cellStyle name="40% - Accent4 2 4 2 3 3" xfId="9658" xr:uid="{00000000-0005-0000-0000-0000A2300000}"/>
    <cellStyle name="40% - Accent4 2 4 2 3 3 2" xfId="9659" xr:uid="{00000000-0005-0000-0000-0000A3300000}"/>
    <cellStyle name="40% - Accent4 2 4 2 3 3 3" xfId="22211" xr:uid="{00000000-0005-0000-0000-0000A4300000}"/>
    <cellStyle name="40% - Accent4 2 4 2 3 4" xfId="9660" xr:uid="{00000000-0005-0000-0000-0000A5300000}"/>
    <cellStyle name="40% - Accent4 2 4 2 3 5" xfId="19624" xr:uid="{00000000-0005-0000-0000-0000A6300000}"/>
    <cellStyle name="40% - Accent4 2 4 2 4" xfId="9661" xr:uid="{00000000-0005-0000-0000-0000A7300000}"/>
    <cellStyle name="40% - Accent4 2 4 2 4 2" xfId="9662" xr:uid="{00000000-0005-0000-0000-0000A8300000}"/>
    <cellStyle name="40% - Accent4 2 4 2 4 2 2" xfId="9663" xr:uid="{00000000-0005-0000-0000-0000A9300000}"/>
    <cellStyle name="40% - Accent4 2 4 2 4 2 3" xfId="22856" xr:uid="{00000000-0005-0000-0000-0000AA300000}"/>
    <cellStyle name="40% - Accent4 2 4 2 4 3" xfId="9664" xr:uid="{00000000-0005-0000-0000-0000AB300000}"/>
    <cellStyle name="40% - Accent4 2 4 2 4 4" xfId="20273" xr:uid="{00000000-0005-0000-0000-0000AC300000}"/>
    <cellStyle name="40% - Accent4 2 4 2 5" xfId="9665" xr:uid="{00000000-0005-0000-0000-0000AD300000}"/>
    <cellStyle name="40% - Accent4 2 4 2 5 2" xfId="9666" xr:uid="{00000000-0005-0000-0000-0000AE300000}"/>
    <cellStyle name="40% - Accent4 2 4 2 5 3" xfId="21566" xr:uid="{00000000-0005-0000-0000-0000AF300000}"/>
    <cellStyle name="40% - Accent4 2 4 2 6" xfId="9667" xr:uid="{00000000-0005-0000-0000-0000B0300000}"/>
    <cellStyle name="40% - Accent4 2 4 2 7" xfId="18972" xr:uid="{00000000-0005-0000-0000-0000B1300000}"/>
    <cellStyle name="40% - Accent4 2 4 3" xfId="9668" xr:uid="{00000000-0005-0000-0000-0000B2300000}"/>
    <cellStyle name="40% - Accent4 2 4 3 2" xfId="9669" xr:uid="{00000000-0005-0000-0000-0000B3300000}"/>
    <cellStyle name="40% - Accent4 2 4 3 2 2" xfId="9670" xr:uid="{00000000-0005-0000-0000-0000B4300000}"/>
    <cellStyle name="40% - Accent4 2 4 3 2 2 2" xfId="9671" xr:uid="{00000000-0005-0000-0000-0000B5300000}"/>
    <cellStyle name="40% - Accent4 2 4 3 2 2 2 2" xfId="9672" xr:uid="{00000000-0005-0000-0000-0000B6300000}"/>
    <cellStyle name="40% - Accent4 2 4 3 2 2 2 3" xfId="23662" xr:uid="{00000000-0005-0000-0000-0000B7300000}"/>
    <cellStyle name="40% - Accent4 2 4 3 2 2 3" xfId="9673" xr:uid="{00000000-0005-0000-0000-0000B8300000}"/>
    <cellStyle name="40% - Accent4 2 4 3 2 2 4" xfId="21079" xr:uid="{00000000-0005-0000-0000-0000B9300000}"/>
    <cellStyle name="40% - Accent4 2 4 3 2 3" xfId="9674" xr:uid="{00000000-0005-0000-0000-0000BA300000}"/>
    <cellStyle name="40% - Accent4 2 4 3 2 3 2" xfId="9675" xr:uid="{00000000-0005-0000-0000-0000BB300000}"/>
    <cellStyle name="40% - Accent4 2 4 3 2 3 3" xfId="22372" xr:uid="{00000000-0005-0000-0000-0000BC300000}"/>
    <cellStyle name="40% - Accent4 2 4 3 2 4" xfId="9676" xr:uid="{00000000-0005-0000-0000-0000BD300000}"/>
    <cellStyle name="40% - Accent4 2 4 3 2 5" xfId="19785" xr:uid="{00000000-0005-0000-0000-0000BE300000}"/>
    <cellStyle name="40% - Accent4 2 4 3 3" xfId="9677" xr:uid="{00000000-0005-0000-0000-0000BF300000}"/>
    <cellStyle name="40% - Accent4 2 4 3 3 2" xfId="9678" xr:uid="{00000000-0005-0000-0000-0000C0300000}"/>
    <cellStyle name="40% - Accent4 2 4 3 3 2 2" xfId="9679" xr:uid="{00000000-0005-0000-0000-0000C1300000}"/>
    <cellStyle name="40% - Accent4 2 4 3 3 2 3" xfId="23017" xr:uid="{00000000-0005-0000-0000-0000C2300000}"/>
    <cellStyle name="40% - Accent4 2 4 3 3 3" xfId="9680" xr:uid="{00000000-0005-0000-0000-0000C3300000}"/>
    <cellStyle name="40% - Accent4 2 4 3 3 4" xfId="20434" xr:uid="{00000000-0005-0000-0000-0000C4300000}"/>
    <cellStyle name="40% - Accent4 2 4 3 4" xfId="9681" xr:uid="{00000000-0005-0000-0000-0000C5300000}"/>
    <cellStyle name="40% - Accent4 2 4 3 4 2" xfId="9682" xr:uid="{00000000-0005-0000-0000-0000C6300000}"/>
    <cellStyle name="40% - Accent4 2 4 3 4 3" xfId="21727" xr:uid="{00000000-0005-0000-0000-0000C7300000}"/>
    <cellStyle name="40% - Accent4 2 4 3 5" xfId="9683" xr:uid="{00000000-0005-0000-0000-0000C8300000}"/>
    <cellStyle name="40% - Accent4 2 4 3 6" xfId="19137" xr:uid="{00000000-0005-0000-0000-0000C9300000}"/>
    <cellStyle name="40% - Accent4 2 4 4" xfId="9684" xr:uid="{00000000-0005-0000-0000-0000CA300000}"/>
    <cellStyle name="40% - Accent4 2 4 4 2" xfId="9685" xr:uid="{00000000-0005-0000-0000-0000CB300000}"/>
    <cellStyle name="40% - Accent4 2 4 4 2 2" xfId="9686" xr:uid="{00000000-0005-0000-0000-0000CC300000}"/>
    <cellStyle name="40% - Accent4 2 4 4 2 2 2" xfId="9687" xr:uid="{00000000-0005-0000-0000-0000CD300000}"/>
    <cellStyle name="40% - Accent4 2 4 4 2 2 3" xfId="23340" xr:uid="{00000000-0005-0000-0000-0000CE300000}"/>
    <cellStyle name="40% - Accent4 2 4 4 2 3" xfId="9688" xr:uid="{00000000-0005-0000-0000-0000CF300000}"/>
    <cellStyle name="40% - Accent4 2 4 4 2 4" xfId="20757" xr:uid="{00000000-0005-0000-0000-0000D0300000}"/>
    <cellStyle name="40% - Accent4 2 4 4 3" xfId="9689" xr:uid="{00000000-0005-0000-0000-0000D1300000}"/>
    <cellStyle name="40% - Accent4 2 4 4 3 2" xfId="9690" xr:uid="{00000000-0005-0000-0000-0000D2300000}"/>
    <cellStyle name="40% - Accent4 2 4 4 3 3" xfId="22050" xr:uid="{00000000-0005-0000-0000-0000D3300000}"/>
    <cellStyle name="40% - Accent4 2 4 4 4" xfId="9691" xr:uid="{00000000-0005-0000-0000-0000D4300000}"/>
    <cellStyle name="40% - Accent4 2 4 4 5" xfId="19463" xr:uid="{00000000-0005-0000-0000-0000D5300000}"/>
    <cellStyle name="40% - Accent4 2 4 5" xfId="9692" xr:uid="{00000000-0005-0000-0000-0000D6300000}"/>
    <cellStyle name="40% - Accent4 2 4 5 2" xfId="9693" xr:uid="{00000000-0005-0000-0000-0000D7300000}"/>
    <cellStyle name="40% - Accent4 2 4 5 2 2" xfId="9694" xr:uid="{00000000-0005-0000-0000-0000D8300000}"/>
    <cellStyle name="40% - Accent4 2 4 5 2 3" xfId="22695" xr:uid="{00000000-0005-0000-0000-0000D9300000}"/>
    <cellStyle name="40% - Accent4 2 4 5 3" xfId="9695" xr:uid="{00000000-0005-0000-0000-0000DA300000}"/>
    <cellStyle name="40% - Accent4 2 4 5 4" xfId="20112" xr:uid="{00000000-0005-0000-0000-0000DB300000}"/>
    <cellStyle name="40% - Accent4 2 4 6" xfId="9696" xr:uid="{00000000-0005-0000-0000-0000DC300000}"/>
    <cellStyle name="40% - Accent4 2 4 6 2" xfId="9697" xr:uid="{00000000-0005-0000-0000-0000DD300000}"/>
    <cellStyle name="40% - Accent4 2 4 6 3" xfId="21405" xr:uid="{00000000-0005-0000-0000-0000DE300000}"/>
    <cellStyle name="40% - Accent4 2 4 7" xfId="9698" xr:uid="{00000000-0005-0000-0000-0000DF300000}"/>
    <cellStyle name="40% - Accent4 2 4 8" xfId="18804" xr:uid="{00000000-0005-0000-0000-0000E0300000}"/>
    <cellStyle name="40% - Accent4 2 5" xfId="9699" xr:uid="{00000000-0005-0000-0000-0000E1300000}"/>
    <cellStyle name="40% - Accent4 2 5 2" xfId="9700" xr:uid="{00000000-0005-0000-0000-0000E2300000}"/>
    <cellStyle name="40% - Accent4 2 5 2 2" xfId="9701" xr:uid="{00000000-0005-0000-0000-0000E3300000}"/>
    <cellStyle name="40% - Accent4 2 5 2 2 2" xfId="9702" xr:uid="{00000000-0005-0000-0000-0000E4300000}"/>
    <cellStyle name="40% - Accent4 2 5 2 2 2 2" xfId="9703" xr:uid="{00000000-0005-0000-0000-0000E5300000}"/>
    <cellStyle name="40% - Accent4 2 5 2 2 2 2 2" xfId="9704" xr:uid="{00000000-0005-0000-0000-0000E6300000}"/>
    <cellStyle name="40% - Accent4 2 5 2 2 2 2 3" xfId="23743" xr:uid="{00000000-0005-0000-0000-0000E7300000}"/>
    <cellStyle name="40% - Accent4 2 5 2 2 2 3" xfId="9705" xr:uid="{00000000-0005-0000-0000-0000E8300000}"/>
    <cellStyle name="40% - Accent4 2 5 2 2 2 4" xfId="21160" xr:uid="{00000000-0005-0000-0000-0000E9300000}"/>
    <cellStyle name="40% - Accent4 2 5 2 2 3" xfId="9706" xr:uid="{00000000-0005-0000-0000-0000EA300000}"/>
    <cellStyle name="40% - Accent4 2 5 2 2 3 2" xfId="9707" xr:uid="{00000000-0005-0000-0000-0000EB300000}"/>
    <cellStyle name="40% - Accent4 2 5 2 2 3 3" xfId="22453" xr:uid="{00000000-0005-0000-0000-0000EC300000}"/>
    <cellStyle name="40% - Accent4 2 5 2 2 4" xfId="9708" xr:uid="{00000000-0005-0000-0000-0000ED300000}"/>
    <cellStyle name="40% - Accent4 2 5 2 2 5" xfId="19866" xr:uid="{00000000-0005-0000-0000-0000EE300000}"/>
    <cellStyle name="40% - Accent4 2 5 2 3" xfId="9709" xr:uid="{00000000-0005-0000-0000-0000EF300000}"/>
    <cellStyle name="40% - Accent4 2 5 2 3 2" xfId="9710" xr:uid="{00000000-0005-0000-0000-0000F0300000}"/>
    <cellStyle name="40% - Accent4 2 5 2 3 2 2" xfId="9711" xr:uid="{00000000-0005-0000-0000-0000F1300000}"/>
    <cellStyle name="40% - Accent4 2 5 2 3 2 3" xfId="23098" xr:uid="{00000000-0005-0000-0000-0000F2300000}"/>
    <cellStyle name="40% - Accent4 2 5 2 3 3" xfId="9712" xr:uid="{00000000-0005-0000-0000-0000F3300000}"/>
    <cellStyle name="40% - Accent4 2 5 2 3 4" xfId="20515" xr:uid="{00000000-0005-0000-0000-0000F4300000}"/>
    <cellStyle name="40% - Accent4 2 5 2 4" xfId="9713" xr:uid="{00000000-0005-0000-0000-0000F5300000}"/>
    <cellStyle name="40% - Accent4 2 5 2 4 2" xfId="9714" xr:uid="{00000000-0005-0000-0000-0000F6300000}"/>
    <cellStyle name="40% - Accent4 2 5 2 4 3" xfId="21808" xr:uid="{00000000-0005-0000-0000-0000F7300000}"/>
    <cellStyle name="40% - Accent4 2 5 2 5" xfId="9715" xr:uid="{00000000-0005-0000-0000-0000F8300000}"/>
    <cellStyle name="40% - Accent4 2 5 2 6" xfId="19218" xr:uid="{00000000-0005-0000-0000-0000F9300000}"/>
    <cellStyle name="40% - Accent4 2 5 3" xfId="9716" xr:uid="{00000000-0005-0000-0000-0000FA300000}"/>
    <cellStyle name="40% - Accent4 2 5 3 2" xfId="9717" xr:uid="{00000000-0005-0000-0000-0000FB300000}"/>
    <cellStyle name="40% - Accent4 2 5 3 2 2" xfId="9718" xr:uid="{00000000-0005-0000-0000-0000FC300000}"/>
    <cellStyle name="40% - Accent4 2 5 3 2 2 2" xfId="9719" xr:uid="{00000000-0005-0000-0000-0000FD300000}"/>
    <cellStyle name="40% - Accent4 2 5 3 2 2 3" xfId="23421" xr:uid="{00000000-0005-0000-0000-0000FE300000}"/>
    <cellStyle name="40% - Accent4 2 5 3 2 3" xfId="9720" xr:uid="{00000000-0005-0000-0000-0000FF300000}"/>
    <cellStyle name="40% - Accent4 2 5 3 2 4" xfId="20838" xr:uid="{00000000-0005-0000-0000-000000310000}"/>
    <cellStyle name="40% - Accent4 2 5 3 3" xfId="9721" xr:uid="{00000000-0005-0000-0000-000001310000}"/>
    <cellStyle name="40% - Accent4 2 5 3 3 2" xfId="9722" xr:uid="{00000000-0005-0000-0000-000002310000}"/>
    <cellStyle name="40% - Accent4 2 5 3 3 3" xfId="22131" xr:uid="{00000000-0005-0000-0000-000003310000}"/>
    <cellStyle name="40% - Accent4 2 5 3 4" xfId="9723" xr:uid="{00000000-0005-0000-0000-000004310000}"/>
    <cellStyle name="40% - Accent4 2 5 3 5" xfId="19544" xr:uid="{00000000-0005-0000-0000-000005310000}"/>
    <cellStyle name="40% - Accent4 2 5 4" xfId="9724" xr:uid="{00000000-0005-0000-0000-000006310000}"/>
    <cellStyle name="40% - Accent4 2 5 4 2" xfId="9725" xr:uid="{00000000-0005-0000-0000-000007310000}"/>
    <cellStyle name="40% - Accent4 2 5 4 2 2" xfId="9726" xr:uid="{00000000-0005-0000-0000-000008310000}"/>
    <cellStyle name="40% - Accent4 2 5 4 2 3" xfId="22776" xr:uid="{00000000-0005-0000-0000-000009310000}"/>
    <cellStyle name="40% - Accent4 2 5 4 3" xfId="9727" xr:uid="{00000000-0005-0000-0000-00000A310000}"/>
    <cellStyle name="40% - Accent4 2 5 4 4" xfId="20193" xr:uid="{00000000-0005-0000-0000-00000B310000}"/>
    <cellStyle name="40% - Accent4 2 5 5" xfId="9728" xr:uid="{00000000-0005-0000-0000-00000C310000}"/>
    <cellStyle name="40% - Accent4 2 5 5 2" xfId="9729" xr:uid="{00000000-0005-0000-0000-00000D310000}"/>
    <cellStyle name="40% - Accent4 2 5 5 3" xfId="21486" xr:uid="{00000000-0005-0000-0000-00000E310000}"/>
    <cellStyle name="40% - Accent4 2 5 6" xfId="9730" xr:uid="{00000000-0005-0000-0000-00000F310000}"/>
    <cellStyle name="40% - Accent4 2 5 7" xfId="18892" xr:uid="{00000000-0005-0000-0000-000010310000}"/>
    <cellStyle name="40% - Accent4 2 6" xfId="9731" xr:uid="{00000000-0005-0000-0000-000011310000}"/>
    <cellStyle name="40% - Accent4 2 6 2" xfId="9732" xr:uid="{00000000-0005-0000-0000-000012310000}"/>
    <cellStyle name="40% - Accent4 2 6 2 2" xfId="9733" xr:uid="{00000000-0005-0000-0000-000013310000}"/>
    <cellStyle name="40% - Accent4 2 6 2 2 2" xfId="9734" xr:uid="{00000000-0005-0000-0000-000014310000}"/>
    <cellStyle name="40% - Accent4 2 6 2 2 2 2" xfId="9735" xr:uid="{00000000-0005-0000-0000-000015310000}"/>
    <cellStyle name="40% - Accent4 2 6 2 2 2 3" xfId="23582" xr:uid="{00000000-0005-0000-0000-000016310000}"/>
    <cellStyle name="40% - Accent4 2 6 2 2 3" xfId="9736" xr:uid="{00000000-0005-0000-0000-000017310000}"/>
    <cellStyle name="40% - Accent4 2 6 2 2 4" xfId="20999" xr:uid="{00000000-0005-0000-0000-000018310000}"/>
    <cellStyle name="40% - Accent4 2 6 2 3" xfId="9737" xr:uid="{00000000-0005-0000-0000-000019310000}"/>
    <cellStyle name="40% - Accent4 2 6 2 3 2" xfId="9738" xr:uid="{00000000-0005-0000-0000-00001A310000}"/>
    <cellStyle name="40% - Accent4 2 6 2 3 3" xfId="22292" xr:uid="{00000000-0005-0000-0000-00001B310000}"/>
    <cellStyle name="40% - Accent4 2 6 2 4" xfId="9739" xr:uid="{00000000-0005-0000-0000-00001C310000}"/>
    <cellStyle name="40% - Accent4 2 6 2 5" xfId="19705" xr:uid="{00000000-0005-0000-0000-00001D310000}"/>
    <cellStyle name="40% - Accent4 2 6 3" xfId="9740" xr:uid="{00000000-0005-0000-0000-00001E310000}"/>
    <cellStyle name="40% - Accent4 2 6 3 2" xfId="9741" xr:uid="{00000000-0005-0000-0000-00001F310000}"/>
    <cellStyle name="40% - Accent4 2 6 3 2 2" xfId="9742" xr:uid="{00000000-0005-0000-0000-000020310000}"/>
    <cellStyle name="40% - Accent4 2 6 3 2 3" xfId="22937" xr:uid="{00000000-0005-0000-0000-000021310000}"/>
    <cellStyle name="40% - Accent4 2 6 3 3" xfId="9743" xr:uid="{00000000-0005-0000-0000-000022310000}"/>
    <cellStyle name="40% - Accent4 2 6 3 4" xfId="20354" xr:uid="{00000000-0005-0000-0000-000023310000}"/>
    <cellStyle name="40% - Accent4 2 6 4" xfId="9744" xr:uid="{00000000-0005-0000-0000-000024310000}"/>
    <cellStyle name="40% - Accent4 2 6 4 2" xfId="9745" xr:uid="{00000000-0005-0000-0000-000025310000}"/>
    <cellStyle name="40% - Accent4 2 6 4 3" xfId="21647" xr:uid="{00000000-0005-0000-0000-000026310000}"/>
    <cellStyle name="40% - Accent4 2 6 5" xfId="9746" xr:uid="{00000000-0005-0000-0000-000027310000}"/>
    <cellStyle name="40% - Accent4 2 6 6" xfId="19057" xr:uid="{00000000-0005-0000-0000-000028310000}"/>
    <cellStyle name="40% - Accent4 2 7" xfId="9747" xr:uid="{00000000-0005-0000-0000-000029310000}"/>
    <cellStyle name="40% - Accent4 2 7 2" xfId="9748" xr:uid="{00000000-0005-0000-0000-00002A310000}"/>
    <cellStyle name="40% - Accent4 2 7 2 2" xfId="9749" xr:uid="{00000000-0005-0000-0000-00002B310000}"/>
    <cellStyle name="40% - Accent4 2 7 2 2 2" xfId="9750" xr:uid="{00000000-0005-0000-0000-00002C310000}"/>
    <cellStyle name="40% - Accent4 2 7 2 2 3" xfId="23259" xr:uid="{00000000-0005-0000-0000-00002D310000}"/>
    <cellStyle name="40% - Accent4 2 7 2 3" xfId="9751" xr:uid="{00000000-0005-0000-0000-00002E310000}"/>
    <cellStyle name="40% - Accent4 2 7 2 4" xfId="20676" xr:uid="{00000000-0005-0000-0000-00002F310000}"/>
    <cellStyle name="40% - Accent4 2 7 3" xfId="9752" xr:uid="{00000000-0005-0000-0000-000030310000}"/>
    <cellStyle name="40% - Accent4 2 7 3 2" xfId="9753" xr:uid="{00000000-0005-0000-0000-000031310000}"/>
    <cellStyle name="40% - Accent4 2 7 3 3" xfId="21969" xr:uid="{00000000-0005-0000-0000-000032310000}"/>
    <cellStyle name="40% - Accent4 2 7 4" xfId="9754" xr:uid="{00000000-0005-0000-0000-000033310000}"/>
    <cellStyle name="40% - Accent4 2 7 5" xfId="19383" xr:uid="{00000000-0005-0000-0000-000034310000}"/>
    <cellStyle name="40% - Accent4 2 8" xfId="9755" xr:uid="{00000000-0005-0000-0000-000035310000}"/>
    <cellStyle name="40% - Accent4 2 8 2" xfId="9756" xr:uid="{00000000-0005-0000-0000-000036310000}"/>
    <cellStyle name="40% - Accent4 2 8 2 2" xfId="9757" xr:uid="{00000000-0005-0000-0000-000037310000}"/>
    <cellStyle name="40% - Accent4 2 8 2 3" xfId="22614" xr:uid="{00000000-0005-0000-0000-000038310000}"/>
    <cellStyle name="40% - Accent4 2 8 3" xfId="9758" xr:uid="{00000000-0005-0000-0000-000039310000}"/>
    <cellStyle name="40% - Accent4 2 8 4" xfId="20031" xr:uid="{00000000-0005-0000-0000-00003A310000}"/>
    <cellStyle name="40% - Accent4 2 9" xfId="9759" xr:uid="{00000000-0005-0000-0000-00003B310000}"/>
    <cellStyle name="40% - Accent4 2 9 2" xfId="9760" xr:uid="{00000000-0005-0000-0000-00003C310000}"/>
    <cellStyle name="40% - Accent4 2 9 3" xfId="21324" xr:uid="{00000000-0005-0000-0000-00003D310000}"/>
    <cellStyle name="40% - Accent4 3" xfId="9761" xr:uid="{00000000-0005-0000-0000-00003E310000}"/>
    <cellStyle name="40% - Accent4 3 10" xfId="18712" xr:uid="{00000000-0005-0000-0000-00003F310000}"/>
    <cellStyle name="40% - Accent4 3 2" xfId="9762" xr:uid="{00000000-0005-0000-0000-000040310000}"/>
    <cellStyle name="40% - Accent4 3 2 2" xfId="9763" xr:uid="{00000000-0005-0000-0000-000041310000}"/>
    <cellStyle name="40% - Accent4 3 2 2 2" xfId="9764" xr:uid="{00000000-0005-0000-0000-000042310000}"/>
    <cellStyle name="40% - Accent4 3 2 2 2 2" xfId="9765" xr:uid="{00000000-0005-0000-0000-000043310000}"/>
    <cellStyle name="40% - Accent4 3 2 2 2 2 2" xfId="9766" xr:uid="{00000000-0005-0000-0000-000044310000}"/>
    <cellStyle name="40% - Accent4 3 2 2 2 2 2 2" xfId="9767" xr:uid="{00000000-0005-0000-0000-000045310000}"/>
    <cellStyle name="40% - Accent4 3 2 2 2 2 2 2 2" xfId="9768" xr:uid="{00000000-0005-0000-0000-000046310000}"/>
    <cellStyle name="40% - Accent4 3 2 2 2 2 2 2 2 2" xfId="9769" xr:uid="{00000000-0005-0000-0000-000047310000}"/>
    <cellStyle name="40% - Accent4 3 2 2 2 2 2 2 2 3" xfId="23873" xr:uid="{00000000-0005-0000-0000-000048310000}"/>
    <cellStyle name="40% - Accent4 3 2 2 2 2 2 2 3" xfId="9770" xr:uid="{00000000-0005-0000-0000-000049310000}"/>
    <cellStyle name="40% - Accent4 3 2 2 2 2 2 2 4" xfId="21290" xr:uid="{00000000-0005-0000-0000-00004A310000}"/>
    <cellStyle name="40% - Accent4 3 2 2 2 2 2 3" xfId="9771" xr:uid="{00000000-0005-0000-0000-00004B310000}"/>
    <cellStyle name="40% - Accent4 3 2 2 2 2 2 3 2" xfId="9772" xr:uid="{00000000-0005-0000-0000-00004C310000}"/>
    <cellStyle name="40% - Accent4 3 2 2 2 2 2 3 3" xfId="22583" xr:uid="{00000000-0005-0000-0000-00004D310000}"/>
    <cellStyle name="40% - Accent4 3 2 2 2 2 2 4" xfId="9773" xr:uid="{00000000-0005-0000-0000-00004E310000}"/>
    <cellStyle name="40% - Accent4 3 2 2 2 2 2 5" xfId="19996" xr:uid="{00000000-0005-0000-0000-00004F310000}"/>
    <cellStyle name="40% - Accent4 3 2 2 2 2 3" xfId="9774" xr:uid="{00000000-0005-0000-0000-000050310000}"/>
    <cellStyle name="40% - Accent4 3 2 2 2 2 3 2" xfId="9775" xr:uid="{00000000-0005-0000-0000-000051310000}"/>
    <cellStyle name="40% - Accent4 3 2 2 2 2 3 2 2" xfId="9776" xr:uid="{00000000-0005-0000-0000-000052310000}"/>
    <cellStyle name="40% - Accent4 3 2 2 2 2 3 2 3" xfId="23228" xr:uid="{00000000-0005-0000-0000-000053310000}"/>
    <cellStyle name="40% - Accent4 3 2 2 2 2 3 3" xfId="9777" xr:uid="{00000000-0005-0000-0000-000054310000}"/>
    <cellStyle name="40% - Accent4 3 2 2 2 2 3 4" xfId="20645" xr:uid="{00000000-0005-0000-0000-000055310000}"/>
    <cellStyle name="40% - Accent4 3 2 2 2 2 4" xfId="9778" xr:uid="{00000000-0005-0000-0000-000056310000}"/>
    <cellStyle name="40% - Accent4 3 2 2 2 2 4 2" xfId="9779" xr:uid="{00000000-0005-0000-0000-000057310000}"/>
    <cellStyle name="40% - Accent4 3 2 2 2 2 4 3" xfId="21938" xr:uid="{00000000-0005-0000-0000-000058310000}"/>
    <cellStyle name="40% - Accent4 3 2 2 2 2 5" xfId="9780" xr:uid="{00000000-0005-0000-0000-000059310000}"/>
    <cellStyle name="40% - Accent4 3 2 2 2 2 6" xfId="19348" xr:uid="{00000000-0005-0000-0000-00005A310000}"/>
    <cellStyle name="40% - Accent4 3 2 2 2 3" xfId="9781" xr:uid="{00000000-0005-0000-0000-00005B310000}"/>
    <cellStyle name="40% - Accent4 3 2 2 2 3 2" xfId="9782" xr:uid="{00000000-0005-0000-0000-00005C310000}"/>
    <cellStyle name="40% - Accent4 3 2 2 2 3 2 2" xfId="9783" xr:uid="{00000000-0005-0000-0000-00005D310000}"/>
    <cellStyle name="40% - Accent4 3 2 2 2 3 2 2 2" xfId="9784" xr:uid="{00000000-0005-0000-0000-00005E310000}"/>
    <cellStyle name="40% - Accent4 3 2 2 2 3 2 2 3" xfId="23551" xr:uid="{00000000-0005-0000-0000-00005F310000}"/>
    <cellStyle name="40% - Accent4 3 2 2 2 3 2 3" xfId="9785" xr:uid="{00000000-0005-0000-0000-000060310000}"/>
    <cellStyle name="40% - Accent4 3 2 2 2 3 2 4" xfId="20968" xr:uid="{00000000-0005-0000-0000-000061310000}"/>
    <cellStyle name="40% - Accent4 3 2 2 2 3 3" xfId="9786" xr:uid="{00000000-0005-0000-0000-000062310000}"/>
    <cellStyle name="40% - Accent4 3 2 2 2 3 3 2" xfId="9787" xr:uid="{00000000-0005-0000-0000-000063310000}"/>
    <cellStyle name="40% - Accent4 3 2 2 2 3 3 3" xfId="22261" xr:uid="{00000000-0005-0000-0000-000064310000}"/>
    <cellStyle name="40% - Accent4 3 2 2 2 3 4" xfId="9788" xr:uid="{00000000-0005-0000-0000-000065310000}"/>
    <cellStyle name="40% - Accent4 3 2 2 2 3 5" xfId="19674" xr:uid="{00000000-0005-0000-0000-000066310000}"/>
    <cellStyle name="40% - Accent4 3 2 2 2 4" xfId="9789" xr:uid="{00000000-0005-0000-0000-000067310000}"/>
    <cellStyle name="40% - Accent4 3 2 2 2 4 2" xfId="9790" xr:uid="{00000000-0005-0000-0000-000068310000}"/>
    <cellStyle name="40% - Accent4 3 2 2 2 4 2 2" xfId="9791" xr:uid="{00000000-0005-0000-0000-000069310000}"/>
    <cellStyle name="40% - Accent4 3 2 2 2 4 2 3" xfId="22906" xr:uid="{00000000-0005-0000-0000-00006A310000}"/>
    <cellStyle name="40% - Accent4 3 2 2 2 4 3" xfId="9792" xr:uid="{00000000-0005-0000-0000-00006B310000}"/>
    <cellStyle name="40% - Accent4 3 2 2 2 4 4" xfId="20323" xr:uid="{00000000-0005-0000-0000-00006C310000}"/>
    <cellStyle name="40% - Accent4 3 2 2 2 5" xfId="9793" xr:uid="{00000000-0005-0000-0000-00006D310000}"/>
    <cellStyle name="40% - Accent4 3 2 2 2 5 2" xfId="9794" xr:uid="{00000000-0005-0000-0000-00006E310000}"/>
    <cellStyle name="40% - Accent4 3 2 2 2 5 3" xfId="21616" xr:uid="{00000000-0005-0000-0000-00006F310000}"/>
    <cellStyle name="40% - Accent4 3 2 2 2 6" xfId="9795" xr:uid="{00000000-0005-0000-0000-000070310000}"/>
    <cellStyle name="40% - Accent4 3 2 2 2 7" xfId="19022" xr:uid="{00000000-0005-0000-0000-000071310000}"/>
    <cellStyle name="40% - Accent4 3 2 2 3" xfId="9796" xr:uid="{00000000-0005-0000-0000-000072310000}"/>
    <cellStyle name="40% - Accent4 3 2 2 3 2" xfId="9797" xr:uid="{00000000-0005-0000-0000-000073310000}"/>
    <cellStyle name="40% - Accent4 3 2 2 3 2 2" xfId="9798" xr:uid="{00000000-0005-0000-0000-000074310000}"/>
    <cellStyle name="40% - Accent4 3 2 2 3 2 2 2" xfId="9799" xr:uid="{00000000-0005-0000-0000-000075310000}"/>
    <cellStyle name="40% - Accent4 3 2 2 3 2 2 2 2" xfId="9800" xr:uid="{00000000-0005-0000-0000-000076310000}"/>
    <cellStyle name="40% - Accent4 3 2 2 3 2 2 2 3" xfId="23712" xr:uid="{00000000-0005-0000-0000-000077310000}"/>
    <cellStyle name="40% - Accent4 3 2 2 3 2 2 3" xfId="9801" xr:uid="{00000000-0005-0000-0000-000078310000}"/>
    <cellStyle name="40% - Accent4 3 2 2 3 2 2 4" xfId="21129" xr:uid="{00000000-0005-0000-0000-000079310000}"/>
    <cellStyle name="40% - Accent4 3 2 2 3 2 3" xfId="9802" xr:uid="{00000000-0005-0000-0000-00007A310000}"/>
    <cellStyle name="40% - Accent4 3 2 2 3 2 3 2" xfId="9803" xr:uid="{00000000-0005-0000-0000-00007B310000}"/>
    <cellStyle name="40% - Accent4 3 2 2 3 2 3 3" xfId="22422" xr:uid="{00000000-0005-0000-0000-00007C310000}"/>
    <cellStyle name="40% - Accent4 3 2 2 3 2 4" xfId="9804" xr:uid="{00000000-0005-0000-0000-00007D310000}"/>
    <cellStyle name="40% - Accent4 3 2 2 3 2 5" xfId="19835" xr:uid="{00000000-0005-0000-0000-00007E310000}"/>
    <cellStyle name="40% - Accent4 3 2 2 3 3" xfId="9805" xr:uid="{00000000-0005-0000-0000-00007F310000}"/>
    <cellStyle name="40% - Accent4 3 2 2 3 3 2" xfId="9806" xr:uid="{00000000-0005-0000-0000-000080310000}"/>
    <cellStyle name="40% - Accent4 3 2 2 3 3 2 2" xfId="9807" xr:uid="{00000000-0005-0000-0000-000081310000}"/>
    <cellStyle name="40% - Accent4 3 2 2 3 3 2 3" xfId="23067" xr:uid="{00000000-0005-0000-0000-000082310000}"/>
    <cellStyle name="40% - Accent4 3 2 2 3 3 3" xfId="9808" xr:uid="{00000000-0005-0000-0000-000083310000}"/>
    <cellStyle name="40% - Accent4 3 2 2 3 3 4" xfId="20484" xr:uid="{00000000-0005-0000-0000-000084310000}"/>
    <cellStyle name="40% - Accent4 3 2 2 3 4" xfId="9809" xr:uid="{00000000-0005-0000-0000-000085310000}"/>
    <cellStyle name="40% - Accent4 3 2 2 3 4 2" xfId="9810" xr:uid="{00000000-0005-0000-0000-000086310000}"/>
    <cellStyle name="40% - Accent4 3 2 2 3 4 3" xfId="21777" xr:uid="{00000000-0005-0000-0000-000087310000}"/>
    <cellStyle name="40% - Accent4 3 2 2 3 5" xfId="9811" xr:uid="{00000000-0005-0000-0000-000088310000}"/>
    <cellStyle name="40% - Accent4 3 2 2 3 6" xfId="19187" xr:uid="{00000000-0005-0000-0000-000089310000}"/>
    <cellStyle name="40% - Accent4 3 2 2 4" xfId="9812" xr:uid="{00000000-0005-0000-0000-00008A310000}"/>
    <cellStyle name="40% - Accent4 3 2 2 4 2" xfId="9813" xr:uid="{00000000-0005-0000-0000-00008B310000}"/>
    <cellStyle name="40% - Accent4 3 2 2 4 2 2" xfId="9814" xr:uid="{00000000-0005-0000-0000-00008C310000}"/>
    <cellStyle name="40% - Accent4 3 2 2 4 2 2 2" xfId="9815" xr:uid="{00000000-0005-0000-0000-00008D310000}"/>
    <cellStyle name="40% - Accent4 3 2 2 4 2 2 3" xfId="23390" xr:uid="{00000000-0005-0000-0000-00008E310000}"/>
    <cellStyle name="40% - Accent4 3 2 2 4 2 3" xfId="9816" xr:uid="{00000000-0005-0000-0000-00008F310000}"/>
    <cellStyle name="40% - Accent4 3 2 2 4 2 4" xfId="20807" xr:uid="{00000000-0005-0000-0000-000090310000}"/>
    <cellStyle name="40% - Accent4 3 2 2 4 3" xfId="9817" xr:uid="{00000000-0005-0000-0000-000091310000}"/>
    <cellStyle name="40% - Accent4 3 2 2 4 3 2" xfId="9818" xr:uid="{00000000-0005-0000-0000-000092310000}"/>
    <cellStyle name="40% - Accent4 3 2 2 4 3 3" xfId="22100" xr:uid="{00000000-0005-0000-0000-000093310000}"/>
    <cellStyle name="40% - Accent4 3 2 2 4 4" xfId="9819" xr:uid="{00000000-0005-0000-0000-000094310000}"/>
    <cellStyle name="40% - Accent4 3 2 2 4 5" xfId="19513" xr:uid="{00000000-0005-0000-0000-000095310000}"/>
    <cellStyle name="40% - Accent4 3 2 2 5" xfId="9820" xr:uid="{00000000-0005-0000-0000-000096310000}"/>
    <cellStyle name="40% - Accent4 3 2 2 5 2" xfId="9821" xr:uid="{00000000-0005-0000-0000-000097310000}"/>
    <cellStyle name="40% - Accent4 3 2 2 5 2 2" xfId="9822" xr:uid="{00000000-0005-0000-0000-000098310000}"/>
    <cellStyle name="40% - Accent4 3 2 2 5 2 3" xfId="22745" xr:uid="{00000000-0005-0000-0000-000099310000}"/>
    <cellStyle name="40% - Accent4 3 2 2 5 3" xfId="9823" xr:uid="{00000000-0005-0000-0000-00009A310000}"/>
    <cellStyle name="40% - Accent4 3 2 2 5 4" xfId="20162" xr:uid="{00000000-0005-0000-0000-00009B310000}"/>
    <cellStyle name="40% - Accent4 3 2 2 6" xfId="9824" xr:uid="{00000000-0005-0000-0000-00009C310000}"/>
    <cellStyle name="40% - Accent4 3 2 2 6 2" xfId="9825" xr:uid="{00000000-0005-0000-0000-00009D310000}"/>
    <cellStyle name="40% - Accent4 3 2 2 6 3" xfId="21455" xr:uid="{00000000-0005-0000-0000-00009E310000}"/>
    <cellStyle name="40% - Accent4 3 2 2 7" xfId="9826" xr:uid="{00000000-0005-0000-0000-00009F310000}"/>
    <cellStyle name="40% - Accent4 3 2 2 8" xfId="18857" xr:uid="{00000000-0005-0000-0000-0000A0310000}"/>
    <cellStyle name="40% - Accent4 3 2 3" xfId="9827" xr:uid="{00000000-0005-0000-0000-0000A1310000}"/>
    <cellStyle name="40% - Accent4 3 2 3 2" xfId="9828" xr:uid="{00000000-0005-0000-0000-0000A2310000}"/>
    <cellStyle name="40% - Accent4 3 2 3 2 2" xfId="9829" xr:uid="{00000000-0005-0000-0000-0000A3310000}"/>
    <cellStyle name="40% - Accent4 3 2 3 2 2 2" xfId="9830" xr:uid="{00000000-0005-0000-0000-0000A4310000}"/>
    <cellStyle name="40% - Accent4 3 2 3 2 2 2 2" xfId="9831" xr:uid="{00000000-0005-0000-0000-0000A5310000}"/>
    <cellStyle name="40% - Accent4 3 2 3 2 2 2 2 2" xfId="9832" xr:uid="{00000000-0005-0000-0000-0000A6310000}"/>
    <cellStyle name="40% - Accent4 3 2 3 2 2 2 2 3" xfId="23793" xr:uid="{00000000-0005-0000-0000-0000A7310000}"/>
    <cellStyle name="40% - Accent4 3 2 3 2 2 2 3" xfId="9833" xr:uid="{00000000-0005-0000-0000-0000A8310000}"/>
    <cellStyle name="40% - Accent4 3 2 3 2 2 2 4" xfId="21210" xr:uid="{00000000-0005-0000-0000-0000A9310000}"/>
    <cellStyle name="40% - Accent4 3 2 3 2 2 3" xfId="9834" xr:uid="{00000000-0005-0000-0000-0000AA310000}"/>
    <cellStyle name="40% - Accent4 3 2 3 2 2 3 2" xfId="9835" xr:uid="{00000000-0005-0000-0000-0000AB310000}"/>
    <cellStyle name="40% - Accent4 3 2 3 2 2 3 3" xfId="22503" xr:uid="{00000000-0005-0000-0000-0000AC310000}"/>
    <cellStyle name="40% - Accent4 3 2 3 2 2 4" xfId="9836" xr:uid="{00000000-0005-0000-0000-0000AD310000}"/>
    <cellStyle name="40% - Accent4 3 2 3 2 2 5" xfId="19916" xr:uid="{00000000-0005-0000-0000-0000AE310000}"/>
    <cellStyle name="40% - Accent4 3 2 3 2 3" xfId="9837" xr:uid="{00000000-0005-0000-0000-0000AF310000}"/>
    <cellStyle name="40% - Accent4 3 2 3 2 3 2" xfId="9838" xr:uid="{00000000-0005-0000-0000-0000B0310000}"/>
    <cellStyle name="40% - Accent4 3 2 3 2 3 2 2" xfId="9839" xr:uid="{00000000-0005-0000-0000-0000B1310000}"/>
    <cellStyle name="40% - Accent4 3 2 3 2 3 2 3" xfId="23148" xr:uid="{00000000-0005-0000-0000-0000B2310000}"/>
    <cellStyle name="40% - Accent4 3 2 3 2 3 3" xfId="9840" xr:uid="{00000000-0005-0000-0000-0000B3310000}"/>
    <cellStyle name="40% - Accent4 3 2 3 2 3 4" xfId="20565" xr:uid="{00000000-0005-0000-0000-0000B4310000}"/>
    <cellStyle name="40% - Accent4 3 2 3 2 4" xfId="9841" xr:uid="{00000000-0005-0000-0000-0000B5310000}"/>
    <cellStyle name="40% - Accent4 3 2 3 2 4 2" xfId="9842" xr:uid="{00000000-0005-0000-0000-0000B6310000}"/>
    <cellStyle name="40% - Accent4 3 2 3 2 4 3" xfId="21858" xr:uid="{00000000-0005-0000-0000-0000B7310000}"/>
    <cellStyle name="40% - Accent4 3 2 3 2 5" xfId="9843" xr:uid="{00000000-0005-0000-0000-0000B8310000}"/>
    <cellStyle name="40% - Accent4 3 2 3 2 6" xfId="19268" xr:uid="{00000000-0005-0000-0000-0000B9310000}"/>
    <cellStyle name="40% - Accent4 3 2 3 3" xfId="9844" xr:uid="{00000000-0005-0000-0000-0000BA310000}"/>
    <cellStyle name="40% - Accent4 3 2 3 3 2" xfId="9845" xr:uid="{00000000-0005-0000-0000-0000BB310000}"/>
    <cellStyle name="40% - Accent4 3 2 3 3 2 2" xfId="9846" xr:uid="{00000000-0005-0000-0000-0000BC310000}"/>
    <cellStyle name="40% - Accent4 3 2 3 3 2 2 2" xfId="9847" xr:uid="{00000000-0005-0000-0000-0000BD310000}"/>
    <cellStyle name="40% - Accent4 3 2 3 3 2 2 3" xfId="23471" xr:uid="{00000000-0005-0000-0000-0000BE310000}"/>
    <cellStyle name="40% - Accent4 3 2 3 3 2 3" xfId="9848" xr:uid="{00000000-0005-0000-0000-0000BF310000}"/>
    <cellStyle name="40% - Accent4 3 2 3 3 2 4" xfId="20888" xr:uid="{00000000-0005-0000-0000-0000C0310000}"/>
    <cellStyle name="40% - Accent4 3 2 3 3 3" xfId="9849" xr:uid="{00000000-0005-0000-0000-0000C1310000}"/>
    <cellStyle name="40% - Accent4 3 2 3 3 3 2" xfId="9850" xr:uid="{00000000-0005-0000-0000-0000C2310000}"/>
    <cellStyle name="40% - Accent4 3 2 3 3 3 3" xfId="22181" xr:uid="{00000000-0005-0000-0000-0000C3310000}"/>
    <cellStyle name="40% - Accent4 3 2 3 3 4" xfId="9851" xr:uid="{00000000-0005-0000-0000-0000C4310000}"/>
    <cellStyle name="40% - Accent4 3 2 3 3 5" xfId="19594" xr:uid="{00000000-0005-0000-0000-0000C5310000}"/>
    <cellStyle name="40% - Accent4 3 2 3 4" xfId="9852" xr:uid="{00000000-0005-0000-0000-0000C6310000}"/>
    <cellStyle name="40% - Accent4 3 2 3 4 2" xfId="9853" xr:uid="{00000000-0005-0000-0000-0000C7310000}"/>
    <cellStyle name="40% - Accent4 3 2 3 4 2 2" xfId="9854" xr:uid="{00000000-0005-0000-0000-0000C8310000}"/>
    <cellStyle name="40% - Accent4 3 2 3 4 2 3" xfId="22826" xr:uid="{00000000-0005-0000-0000-0000C9310000}"/>
    <cellStyle name="40% - Accent4 3 2 3 4 3" xfId="9855" xr:uid="{00000000-0005-0000-0000-0000CA310000}"/>
    <cellStyle name="40% - Accent4 3 2 3 4 4" xfId="20243" xr:uid="{00000000-0005-0000-0000-0000CB310000}"/>
    <cellStyle name="40% - Accent4 3 2 3 5" xfId="9856" xr:uid="{00000000-0005-0000-0000-0000CC310000}"/>
    <cellStyle name="40% - Accent4 3 2 3 5 2" xfId="9857" xr:uid="{00000000-0005-0000-0000-0000CD310000}"/>
    <cellStyle name="40% - Accent4 3 2 3 5 3" xfId="21536" xr:uid="{00000000-0005-0000-0000-0000CE310000}"/>
    <cellStyle name="40% - Accent4 3 2 3 6" xfId="9858" xr:uid="{00000000-0005-0000-0000-0000CF310000}"/>
    <cellStyle name="40% - Accent4 3 2 3 7" xfId="18942" xr:uid="{00000000-0005-0000-0000-0000D0310000}"/>
    <cellStyle name="40% - Accent4 3 2 4" xfId="9859" xr:uid="{00000000-0005-0000-0000-0000D1310000}"/>
    <cellStyle name="40% - Accent4 3 2 4 2" xfId="9860" xr:uid="{00000000-0005-0000-0000-0000D2310000}"/>
    <cellStyle name="40% - Accent4 3 2 4 2 2" xfId="9861" xr:uid="{00000000-0005-0000-0000-0000D3310000}"/>
    <cellStyle name="40% - Accent4 3 2 4 2 2 2" xfId="9862" xr:uid="{00000000-0005-0000-0000-0000D4310000}"/>
    <cellStyle name="40% - Accent4 3 2 4 2 2 2 2" xfId="9863" xr:uid="{00000000-0005-0000-0000-0000D5310000}"/>
    <cellStyle name="40% - Accent4 3 2 4 2 2 2 3" xfId="23632" xr:uid="{00000000-0005-0000-0000-0000D6310000}"/>
    <cellStyle name="40% - Accent4 3 2 4 2 2 3" xfId="9864" xr:uid="{00000000-0005-0000-0000-0000D7310000}"/>
    <cellStyle name="40% - Accent4 3 2 4 2 2 4" xfId="21049" xr:uid="{00000000-0005-0000-0000-0000D8310000}"/>
    <cellStyle name="40% - Accent4 3 2 4 2 3" xfId="9865" xr:uid="{00000000-0005-0000-0000-0000D9310000}"/>
    <cellStyle name="40% - Accent4 3 2 4 2 3 2" xfId="9866" xr:uid="{00000000-0005-0000-0000-0000DA310000}"/>
    <cellStyle name="40% - Accent4 3 2 4 2 3 3" xfId="22342" xr:uid="{00000000-0005-0000-0000-0000DB310000}"/>
    <cellStyle name="40% - Accent4 3 2 4 2 4" xfId="9867" xr:uid="{00000000-0005-0000-0000-0000DC310000}"/>
    <cellStyle name="40% - Accent4 3 2 4 2 5" xfId="19755" xr:uid="{00000000-0005-0000-0000-0000DD310000}"/>
    <cellStyle name="40% - Accent4 3 2 4 3" xfId="9868" xr:uid="{00000000-0005-0000-0000-0000DE310000}"/>
    <cellStyle name="40% - Accent4 3 2 4 3 2" xfId="9869" xr:uid="{00000000-0005-0000-0000-0000DF310000}"/>
    <cellStyle name="40% - Accent4 3 2 4 3 2 2" xfId="9870" xr:uid="{00000000-0005-0000-0000-0000E0310000}"/>
    <cellStyle name="40% - Accent4 3 2 4 3 2 3" xfId="22987" xr:uid="{00000000-0005-0000-0000-0000E1310000}"/>
    <cellStyle name="40% - Accent4 3 2 4 3 3" xfId="9871" xr:uid="{00000000-0005-0000-0000-0000E2310000}"/>
    <cellStyle name="40% - Accent4 3 2 4 3 4" xfId="20404" xr:uid="{00000000-0005-0000-0000-0000E3310000}"/>
    <cellStyle name="40% - Accent4 3 2 4 4" xfId="9872" xr:uid="{00000000-0005-0000-0000-0000E4310000}"/>
    <cellStyle name="40% - Accent4 3 2 4 4 2" xfId="9873" xr:uid="{00000000-0005-0000-0000-0000E5310000}"/>
    <cellStyle name="40% - Accent4 3 2 4 4 3" xfId="21697" xr:uid="{00000000-0005-0000-0000-0000E6310000}"/>
    <cellStyle name="40% - Accent4 3 2 4 5" xfId="9874" xr:uid="{00000000-0005-0000-0000-0000E7310000}"/>
    <cellStyle name="40% - Accent4 3 2 4 6" xfId="19107" xr:uid="{00000000-0005-0000-0000-0000E8310000}"/>
    <cellStyle name="40% - Accent4 3 2 5" xfId="9875" xr:uid="{00000000-0005-0000-0000-0000E9310000}"/>
    <cellStyle name="40% - Accent4 3 2 5 2" xfId="9876" xr:uid="{00000000-0005-0000-0000-0000EA310000}"/>
    <cellStyle name="40% - Accent4 3 2 5 2 2" xfId="9877" xr:uid="{00000000-0005-0000-0000-0000EB310000}"/>
    <cellStyle name="40% - Accent4 3 2 5 2 2 2" xfId="9878" xr:uid="{00000000-0005-0000-0000-0000EC310000}"/>
    <cellStyle name="40% - Accent4 3 2 5 2 2 3" xfId="23309" xr:uid="{00000000-0005-0000-0000-0000ED310000}"/>
    <cellStyle name="40% - Accent4 3 2 5 2 3" xfId="9879" xr:uid="{00000000-0005-0000-0000-0000EE310000}"/>
    <cellStyle name="40% - Accent4 3 2 5 2 4" xfId="20726" xr:uid="{00000000-0005-0000-0000-0000EF310000}"/>
    <cellStyle name="40% - Accent4 3 2 5 3" xfId="9880" xr:uid="{00000000-0005-0000-0000-0000F0310000}"/>
    <cellStyle name="40% - Accent4 3 2 5 3 2" xfId="9881" xr:uid="{00000000-0005-0000-0000-0000F1310000}"/>
    <cellStyle name="40% - Accent4 3 2 5 3 3" xfId="22019" xr:uid="{00000000-0005-0000-0000-0000F2310000}"/>
    <cellStyle name="40% - Accent4 3 2 5 4" xfId="9882" xr:uid="{00000000-0005-0000-0000-0000F3310000}"/>
    <cellStyle name="40% - Accent4 3 2 5 5" xfId="19433" xr:uid="{00000000-0005-0000-0000-0000F4310000}"/>
    <cellStyle name="40% - Accent4 3 2 6" xfId="9883" xr:uid="{00000000-0005-0000-0000-0000F5310000}"/>
    <cellStyle name="40% - Accent4 3 2 6 2" xfId="9884" xr:uid="{00000000-0005-0000-0000-0000F6310000}"/>
    <cellStyle name="40% - Accent4 3 2 6 2 2" xfId="9885" xr:uid="{00000000-0005-0000-0000-0000F7310000}"/>
    <cellStyle name="40% - Accent4 3 2 6 2 3" xfId="22664" xr:uid="{00000000-0005-0000-0000-0000F8310000}"/>
    <cellStyle name="40% - Accent4 3 2 6 3" xfId="9886" xr:uid="{00000000-0005-0000-0000-0000F9310000}"/>
    <cellStyle name="40% - Accent4 3 2 6 4" xfId="20081" xr:uid="{00000000-0005-0000-0000-0000FA310000}"/>
    <cellStyle name="40% - Accent4 3 2 7" xfId="9887" xr:uid="{00000000-0005-0000-0000-0000FB310000}"/>
    <cellStyle name="40% - Accent4 3 2 7 2" xfId="9888" xr:uid="{00000000-0005-0000-0000-0000FC310000}"/>
    <cellStyle name="40% - Accent4 3 2 7 3" xfId="21374" xr:uid="{00000000-0005-0000-0000-0000FD310000}"/>
    <cellStyle name="40% - Accent4 3 2 8" xfId="9889" xr:uid="{00000000-0005-0000-0000-0000FE310000}"/>
    <cellStyle name="40% - Accent4 3 2 9" xfId="18760" xr:uid="{00000000-0005-0000-0000-0000FF310000}"/>
    <cellStyle name="40% - Accent4 3 3" xfId="9890" xr:uid="{00000000-0005-0000-0000-000000320000}"/>
    <cellStyle name="40% - Accent4 3 3 2" xfId="9891" xr:uid="{00000000-0005-0000-0000-000001320000}"/>
    <cellStyle name="40% - Accent4 3 3 2 2" xfId="9892" xr:uid="{00000000-0005-0000-0000-000002320000}"/>
    <cellStyle name="40% - Accent4 3 3 2 2 2" xfId="9893" xr:uid="{00000000-0005-0000-0000-000003320000}"/>
    <cellStyle name="40% - Accent4 3 3 2 2 2 2" xfId="9894" xr:uid="{00000000-0005-0000-0000-000004320000}"/>
    <cellStyle name="40% - Accent4 3 3 2 2 2 2 2" xfId="9895" xr:uid="{00000000-0005-0000-0000-000005320000}"/>
    <cellStyle name="40% - Accent4 3 3 2 2 2 2 2 2" xfId="9896" xr:uid="{00000000-0005-0000-0000-000006320000}"/>
    <cellStyle name="40% - Accent4 3 3 2 2 2 2 2 3" xfId="23833" xr:uid="{00000000-0005-0000-0000-000007320000}"/>
    <cellStyle name="40% - Accent4 3 3 2 2 2 2 3" xfId="9897" xr:uid="{00000000-0005-0000-0000-000008320000}"/>
    <cellStyle name="40% - Accent4 3 3 2 2 2 2 4" xfId="21250" xr:uid="{00000000-0005-0000-0000-000009320000}"/>
    <cellStyle name="40% - Accent4 3 3 2 2 2 3" xfId="9898" xr:uid="{00000000-0005-0000-0000-00000A320000}"/>
    <cellStyle name="40% - Accent4 3 3 2 2 2 3 2" xfId="9899" xr:uid="{00000000-0005-0000-0000-00000B320000}"/>
    <cellStyle name="40% - Accent4 3 3 2 2 2 3 3" xfId="22543" xr:uid="{00000000-0005-0000-0000-00000C320000}"/>
    <cellStyle name="40% - Accent4 3 3 2 2 2 4" xfId="9900" xr:uid="{00000000-0005-0000-0000-00000D320000}"/>
    <cellStyle name="40% - Accent4 3 3 2 2 2 5" xfId="19956" xr:uid="{00000000-0005-0000-0000-00000E320000}"/>
    <cellStyle name="40% - Accent4 3 3 2 2 3" xfId="9901" xr:uid="{00000000-0005-0000-0000-00000F320000}"/>
    <cellStyle name="40% - Accent4 3 3 2 2 3 2" xfId="9902" xr:uid="{00000000-0005-0000-0000-000010320000}"/>
    <cellStyle name="40% - Accent4 3 3 2 2 3 2 2" xfId="9903" xr:uid="{00000000-0005-0000-0000-000011320000}"/>
    <cellStyle name="40% - Accent4 3 3 2 2 3 2 3" xfId="23188" xr:uid="{00000000-0005-0000-0000-000012320000}"/>
    <cellStyle name="40% - Accent4 3 3 2 2 3 3" xfId="9904" xr:uid="{00000000-0005-0000-0000-000013320000}"/>
    <cellStyle name="40% - Accent4 3 3 2 2 3 4" xfId="20605" xr:uid="{00000000-0005-0000-0000-000014320000}"/>
    <cellStyle name="40% - Accent4 3 3 2 2 4" xfId="9905" xr:uid="{00000000-0005-0000-0000-000015320000}"/>
    <cellStyle name="40% - Accent4 3 3 2 2 4 2" xfId="9906" xr:uid="{00000000-0005-0000-0000-000016320000}"/>
    <cellStyle name="40% - Accent4 3 3 2 2 4 3" xfId="21898" xr:uid="{00000000-0005-0000-0000-000017320000}"/>
    <cellStyle name="40% - Accent4 3 3 2 2 5" xfId="9907" xr:uid="{00000000-0005-0000-0000-000018320000}"/>
    <cellStyle name="40% - Accent4 3 3 2 2 6" xfId="19308" xr:uid="{00000000-0005-0000-0000-000019320000}"/>
    <cellStyle name="40% - Accent4 3 3 2 3" xfId="9908" xr:uid="{00000000-0005-0000-0000-00001A320000}"/>
    <cellStyle name="40% - Accent4 3 3 2 3 2" xfId="9909" xr:uid="{00000000-0005-0000-0000-00001B320000}"/>
    <cellStyle name="40% - Accent4 3 3 2 3 2 2" xfId="9910" xr:uid="{00000000-0005-0000-0000-00001C320000}"/>
    <cellStyle name="40% - Accent4 3 3 2 3 2 2 2" xfId="9911" xr:uid="{00000000-0005-0000-0000-00001D320000}"/>
    <cellStyle name="40% - Accent4 3 3 2 3 2 2 3" xfId="23511" xr:uid="{00000000-0005-0000-0000-00001E320000}"/>
    <cellStyle name="40% - Accent4 3 3 2 3 2 3" xfId="9912" xr:uid="{00000000-0005-0000-0000-00001F320000}"/>
    <cellStyle name="40% - Accent4 3 3 2 3 2 4" xfId="20928" xr:uid="{00000000-0005-0000-0000-000020320000}"/>
    <cellStyle name="40% - Accent4 3 3 2 3 3" xfId="9913" xr:uid="{00000000-0005-0000-0000-000021320000}"/>
    <cellStyle name="40% - Accent4 3 3 2 3 3 2" xfId="9914" xr:uid="{00000000-0005-0000-0000-000022320000}"/>
    <cellStyle name="40% - Accent4 3 3 2 3 3 3" xfId="22221" xr:uid="{00000000-0005-0000-0000-000023320000}"/>
    <cellStyle name="40% - Accent4 3 3 2 3 4" xfId="9915" xr:uid="{00000000-0005-0000-0000-000024320000}"/>
    <cellStyle name="40% - Accent4 3 3 2 3 5" xfId="19634" xr:uid="{00000000-0005-0000-0000-000025320000}"/>
    <cellStyle name="40% - Accent4 3 3 2 4" xfId="9916" xr:uid="{00000000-0005-0000-0000-000026320000}"/>
    <cellStyle name="40% - Accent4 3 3 2 4 2" xfId="9917" xr:uid="{00000000-0005-0000-0000-000027320000}"/>
    <cellStyle name="40% - Accent4 3 3 2 4 2 2" xfId="9918" xr:uid="{00000000-0005-0000-0000-000028320000}"/>
    <cellStyle name="40% - Accent4 3 3 2 4 2 3" xfId="22866" xr:uid="{00000000-0005-0000-0000-000029320000}"/>
    <cellStyle name="40% - Accent4 3 3 2 4 3" xfId="9919" xr:uid="{00000000-0005-0000-0000-00002A320000}"/>
    <cellStyle name="40% - Accent4 3 3 2 4 4" xfId="20283" xr:uid="{00000000-0005-0000-0000-00002B320000}"/>
    <cellStyle name="40% - Accent4 3 3 2 5" xfId="9920" xr:uid="{00000000-0005-0000-0000-00002C320000}"/>
    <cellStyle name="40% - Accent4 3 3 2 5 2" xfId="9921" xr:uid="{00000000-0005-0000-0000-00002D320000}"/>
    <cellStyle name="40% - Accent4 3 3 2 5 3" xfId="21576" xr:uid="{00000000-0005-0000-0000-00002E320000}"/>
    <cellStyle name="40% - Accent4 3 3 2 6" xfId="9922" xr:uid="{00000000-0005-0000-0000-00002F320000}"/>
    <cellStyle name="40% - Accent4 3 3 2 7" xfId="18982" xr:uid="{00000000-0005-0000-0000-000030320000}"/>
    <cellStyle name="40% - Accent4 3 3 3" xfId="9923" xr:uid="{00000000-0005-0000-0000-000031320000}"/>
    <cellStyle name="40% - Accent4 3 3 3 2" xfId="9924" xr:uid="{00000000-0005-0000-0000-000032320000}"/>
    <cellStyle name="40% - Accent4 3 3 3 2 2" xfId="9925" xr:uid="{00000000-0005-0000-0000-000033320000}"/>
    <cellStyle name="40% - Accent4 3 3 3 2 2 2" xfId="9926" xr:uid="{00000000-0005-0000-0000-000034320000}"/>
    <cellStyle name="40% - Accent4 3 3 3 2 2 2 2" xfId="9927" xr:uid="{00000000-0005-0000-0000-000035320000}"/>
    <cellStyle name="40% - Accent4 3 3 3 2 2 2 3" xfId="23672" xr:uid="{00000000-0005-0000-0000-000036320000}"/>
    <cellStyle name="40% - Accent4 3 3 3 2 2 3" xfId="9928" xr:uid="{00000000-0005-0000-0000-000037320000}"/>
    <cellStyle name="40% - Accent4 3 3 3 2 2 4" xfId="21089" xr:uid="{00000000-0005-0000-0000-000038320000}"/>
    <cellStyle name="40% - Accent4 3 3 3 2 3" xfId="9929" xr:uid="{00000000-0005-0000-0000-000039320000}"/>
    <cellStyle name="40% - Accent4 3 3 3 2 3 2" xfId="9930" xr:uid="{00000000-0005-0000-0000-00003A320000}"/>
    <cellStyle name="40% - Accent4 3 3 3 2 3 3" xfId="22382" xr:uid="{00000000-0005-0000-0000-00003B320000}"/>
    <cellStyle name="40% - Accent4 3 3 3 2 4" xfId="9931" xr:uid="{00000000-0005-0000-0000-00003C320000}"/>
    <cellStyle name="40% - Accent4 3 3 3 2 5" xfId="19795" xr:uid="{00000000-0005-0000-0000-00003D320000}"/>
    <cellStyle name="40% - Accent4 3 3 3 3" xfId="9932" xr:uid="{00000000-0005-0000-0000-00003E320000}"/>
    <cellStyle name="40% - Accent4 3 3 3 3 2" xfId="9933" xr:uid="{00000000-0005-0000-0000-00003F320000}"/>
    <cellStyle name="40% - Accent4 3 3 3 3 2 2" xfId="9934" xr:uid="{00000000-0005-0000-0000-000040320000}"/>
    <cellStyle name="40% - Accent4 3 3 3 3 2 3" xfId="23027" xr:uid="{00000000-0005-0000-0000-000041320000}"/>
    <cellStyle name="40% - Accent4 3 3 3 3 3" xfId="9935" xr:uid="{00000000-0005-0000-0000-000042320000}"/>
    <cellStyle name="40% - Accent4 3 3 3 3 4" xfId="20444" xr:uid="{00000000-0005-0000-0000-000043320000}"/>
    <cellStyle name="40% - Accent4 3 3 3 4" xfId="9936" xr:uid="{00000000-0005-0000-0000-000044320000}"/>
    <cellStyle name="40% - Accent4 3 3 3 4 2" xfId="9937" xr:uid="{00000000-0005-0000-0000-000045320000}"/>
    <cellStyle name="40% - Accent4 3 3 3 4 3" xfId="21737" xr:uid="{00000000-0005-0000-0000-000046320000}"/>
    <cellStyle name="40% - Accent4 3 3 3 5" xfId="9938" xr:uid="{00000000-0005-0000-0000-000047320000}"/>
    <cellStyle name="40% - Accent4 3 3 3 6" xfId="19147" xr:uid="{00000000-0005-0000-0000-000048320000}"/>
    <cellStyle name="40% - Accent4 3 3 4" xfId="9939" xr:uid="{00000000-0005-0000-0000-000049320000}"/>
    <cellStyle name="40% - Accent4 3 3 4 2" xfId="9940" xr:uid="{00000000-0005-0000-0000-00004A320000}"/>
    <cellStyle name="40% - Accent4 3 3 4 2 2" xfId="9941" xr:uid="{00000000-0005-0000-0000-00004B320000}"/>
    <cellStyle name="40% - Accent4 3 3 4 2 2 2" xfId="9942" xr:uid="{00000000-0005-0000-0000-00004C320000}"/>
    <cellStyle name="40% - Accent4 3 3 4 2 2 3" xfId="23350" xr:uid="{00000000-0005-0000-0000-00004D320000}"/>
    <cellStyle name="40% - Accent4 3 3 4 2 3" xfId="9943" xr:uid="{00000000-0005-0000-0000-00004E320000}"/>
    <cellStyle name="40% - Accent4 3 3 4 2 4" xfId="20767" xr:uid="{00000000-0005-0000-0000-00004F320000}"/>
    <cellStyle name="40% - Accent4 3 3 4 3" xfId="9944" xr:uid="{00000000-0005-0000-0000-000050320000}"/>
    <cellStyle name="40% - Accent4 3 3 4 3 2" xfId="9945" xr:uid="{00000000-0005-0000-0000-000051320000}"/>
    <cellStyle name="40% - Accent4 3 3 4 3 3" xfId="22060" xr:uid="{00000000-0005-0000-0000-000052320000}"/>
    <cellStyle name="40% - Accent4 3 3 4 4" xfId="9946" xr:uid="{00000000-0005-0000-0000-000053320000}"/>
    <cellStyle name="40% - Accent4 3 3 4 5" xfId="19473" xr:uid="{00000000-0005-0000-0000-000054320000}"/>
    <cellStyle name="40% - Accent4 3 3 5" xfId="9947" xr:uid="{00000000-0005-0000-0000-000055320000}"/>
    <cellStyle name="40% - Accent4 3 3 5 2" xfId="9948" xr:uid="{00000000-0005-0000-0000-000056320000}"/>
    <cellStyle name="40% - Accent4 3 3 5 2 2" xfId="9949" xr:uid="{00000000-0005-0000-0000-000057320000}"/>
    <cellStyle name="40% - Accent4 3 3 5 2 3" xfId="22705" xr:uid="{00000000-0005-0000-0000-000058320000}"/>
    <cellStyle name="40% - Accent4 3 3 5 3" xfId="9950" xr:uid="{00000000-0005-0000-0000-000059320000}"/>
    <cellStyle name="40% - Accent4 3 3 5 4" xfId="20122" xr:uid="{00000000-0005-0000-0000-00005A320000}"/>
    <cellStyle name="40% - Accent4 3 3 6" xfId="9951" xr:uid="{00000000-0005-0000-0000-00005B320000}"/>
    <cellStyle name="40% - Accent4 3 3 6 2" xfId="9952" xr:uid="{00000000-0005-0000-0000-00005C320000}"/>
    <cellStyle name="40% - Accent4 3 3 6 3" xfId="21415" xr:uid="{00000000-0005-0000-0000-00005D320000}"/>
    <cellStyle name="40% - Accent4 3 3 7" xfId="9953" xr:uid="{00000000-0005-0000-0000-00005E320000}"/>
    <cellStyle name="40% - Accent4 3 3 8" xfId="18815" xr:uid="{00000000-0005-0000-0000-00005F320000}"/>
    <cellStyle name="40% - Accent4 3 4" xfId="9954" xr:uid="{00000000-0005-0000-0000-000060320000}"/>
    <cellStyle name="40% - Accent4 3 4 2" xfId="9955" xr:uid="{00000000-0005-0000-0000-000061320000}"/>
    <cellStyle name="40% - Accent4 3 4 2 2" xfId="9956" xr:uid="{00000000-0005-0000-0000-000062320000}"/>
    <cellStyle name="40% - Accent4 3 4 2 2 2" xfId="9957" xr:uid="{00000000-0005-0000-0000-000063320000}"/>
    <cellStyle name="40% - Accent4 3 4 2 2 2 2" xfId="9958" xr:uid="{00000000-0005-0000-0000-000064320000}"/>
    <cellStyle name="40% - Accent4 3 4 2 2 2 2 2" xfId="9959" xr:uid="{00000000-0005-0000-0000-000065320000}"/>
    <cellStyle name="40% - Accent4 3 4 2 2 2 2 3" xfId="23753" xr:uid="{00000000-0005-0000-0000-000066320000}"/>
    <cellStyle name="40% - Accent4 3 4 2 2 2 3" xfId="9960" xr:uid="{00000000-0005-0000-0000-000067320000}"/>
    <cellStyle name="40% - Accent4 3 4 2 2 2 4" xfId="21170" xr:uid="{00000000-0005-0000-0000-000068320000}"/>
    <cellStyle name="40% - Accent4 3 4 2 2 3" xfId="9961" xr:uid="{00000000-0005-0000-0000-000069320000}"/>
    <cellStyle name="40% - Accent4 3 4 2 2 3 2" xfId="9962" xr:uid="{00000000-0005-0000-0000-00006A320000}"/>
    <cellStyle name="40% - Accent4 3 4 2 2 3 3" xfId="22463" xr:uid="{00000000-0005-0000-0000-00006B320000}"/>
    <cellStyle name="40% - Accent4 3 4 2 2 4" xfId="9963" xr:uid="{00000000-0005-0000-0000-00006C320000}"/>
    <cellStyle name="40% - Accent4 3 4 2 2 5" xfId="19876" xr:uid="{00000000-0005-0000-0000-00006D320000}"/>
    <cellStyle name="40% - Accent4 3 4 2 3" xfId="9964" xr:uid="{00000000-0005-0000-0000-00006E320000}"/>
    <cellStyle name="40% - Accent4 3 4 2 3 2" xfId="9965" xr:uid="{00000000-0005-0000-0000-00006F320000}"/>
    <cellStyle name="40% - Accent4 3 4 2 3 2 2" xfId="9966" xr:uid="{00000000-0005-0000-0000-000070320000}"/>
    <cellStyle name="40% - Accent4 3 4 2 3 2 3" xfId="23108" xr:uid="{00000000-0005-0000-0000-000071320000}"/>
    <cellStyle name="40% - Accent4 3 4 2 3 3" xfId="9967" xr:uid="{00000000-0005-0000-0000-000072320000}"/>
    <cellStyle name="40% - Accent4 3 4 2 3 4" xfId="20525" xr:uid="{00000000-0005-0000-0000-000073320000}"/>
    <cellStyle name="40% - Accent4 3 4 2 4" xfId="9968" xr:uid="{00000000-0005-0000-0000-000074320000}"/>
    <cellStyle name="40% - Accent4 3 4 2 4 2" xfId="9969" xr:uid="{00000000-0005-0000-0000-000075320000}"/>
    <cellStyle name="40% - Accent4 3 4 2 4 3" xfId="21818" xr:uid="{00000000-0005-0000-0000-000076320000}"/>
    <cellStyle name="40% - Accent4 3 4 2 5" xfId="9970" xr:uid="{00000000-0005-0000-0000-000077320000}"/>
    <cellStyle name="40% - Accent4 3 4 2 6" xfId="19228" xr:uid="{00000000-0005-0000-0000-000078320000}"/>
    <cellStyle name="40% - Accent4 3 4 3" xfId="9971" xr:uid="{00000000-0005-0000-0000-000079320000}"/>
    <cellStyle name="40% - Accent4 3 4 3 2" xfId="9972" xr:uid="{00000000-0005-0000-0000-00007A320000}"/>
    <cellStyle name="40% - Accent4 3 4 3 2 2" xfId="9973" xr:uid="{00000000-0005-0000-0000-00007B320000}"/>
    <cellStyle name="40% - Accent4 3 4 3 2 2 2" xfId="9974" xr:uid="{00000000-0005-0000-0000-00007C320000}"/>
    <cellStyle name="40% - Accent4 3 4 3 2 2 3" xfId="23431" xr:uid="{00000000-0005-0000-0000-00007D320000}"/>
    <cellStyle name="40% - Accent4 3 4 3 2 3" xfId="9975" xr:uid="{00000000-0005-0000-0000-00007E320000}"/>
    <cellStyle name="40% - Accent4 3 4 3 2 4" xfId="20848" xr:uid="{00000000-0005-0000-0000-00007F320000}"/>
    <cellStyle name="40% - Accent4 3 4 3 3" xfId="9976" xr:uid="{00000000-0005-0000-0000-000080320000}"/>
    <cellStyle name="40% - Accent4 3 4 3 3 2" xfId="9977" xr:uid="{00000000-0005-0000-0000-000081320000}"/>
    <cellStyle name="40% - Accent4 3 4 3 3 3" xfId="22141" xr:uid="{00000000-0005-0000-0000-000082320000}"/>
    <cellStyle name="40% - Accent4 3 4 3 4" xfId="9978" xr:uid="{00000000-0005-0000-0000-000083320000}"/>
    <cellStyle name="40% - Accent4 3 4 3 5" xfId="19554" xr:uid="{00000000-0005-0000-0000-000084320000}"/>
    <cellStyle name="40% - Accent4 3 4 4" xfId="9979" xr:uid="{00000000-0005-0000-0000-000085320000}"/>
    <cellStyle name="40% - Accent4 3 4 4 2" xfId="9980" xr:uid="{00000000-0005-0000-0000-000086320000}"/>
    <cellStyle name="40% - Accent4 3 4 4 2 2" xfId="9981" xr:uid="{00000000-0005-0000-0000-000087320000}"/>
    <cellStyle name="40% - Accent4 3 4 4 2 3" xfId="22786" xr:uid="{00000000-0005-0000-0000-000088320000}"/>
    <cellStyle name="40% - Accent4 3 4 4 3" xfId="9982" xr:uid="{00000000-0005-0000-0000-000089320000}"/>
    <cellStyle name="40% - Accent4 3 4 4 4" xfId="20203" xr:uid="{00000000-0005-0000-0000-00008A320000}"/>
    <cellStyle name="40% - Accent4 3 4 5" xfId="9983" xr:uid="{00000000-0005-0000-0000-00008B320000}"/>
    <cellStyle name="40% - Accent4 3 4 5 2" xfId="9984" xr:uid="{00000000-0005-0000-0000-00008C320000}"/>
    <cellStyle name="40% - Accent4 3 4 5 3" xfId="21496" xr:uid="{00000000-0005-0000-0000-00008D320000}"/>
    <cellStyle name="40% - Accent4 3 4 6" xfId="9985" xr:uid="{00000000-0005-0000-0000-00008E320000}"/>
    <cellStyle name="40% - Accent4 3 4 7" xfId="18902" xr:uid="{00000000-0005-0000-0000-00008F320000}"/>
    <cellStyle name="40% - Accent4 3 5" xfId="9986" xr:uid="{00000000-0005-0000-0000-000090320000}"/>
    <cellStyle name="40% - Accent4 3 5 2" xfId="9987" xr:uid="{00000000-0005-0000-0000-000091320000}"/>
    <cellStyle name="40% - Accent4 3 5 2 2" xfId="9988" xr:uid="{00000000-0005-0000-0000-000092320000}"/>
    <cellStyle name="40% - Accent4 3 5 2 2 2" xfId="9989" xr:uid="{00000000-0005-0000-0000-000093320000}"/>
    <cellStyle name="40% - Accent4 3 5 2 2 2 2" xfId="9990" xr:uid="{00000000-0005-0000-0000-000094320000}"/>
    <cellStyle name="40% - Accent4 3 5 2 2 2 3" xfId="23592" xr:uid="{00000000-0005-0000-0000-000095320000}"/>
    <cellStyle name="40% - Accent4 3 5 2 2 3" xfId="9991" xr:uid="{00000000-0005-0000-0000-000096320000}"/>
    <cellStyle name="40% - Accent4 3 5 2 2 4" xfId="21009" xr:uid="{00000000-0005-0000-0000-000097320000}"/>
    <cellStyle name="40% - Accent4 3 5 2 3" xfId="9992" xr:uid="{00000000-0005-0000-0000-000098320000}"/>
    <cellStyle name="40% - Accent4 3 5 2 3 2" xfId="9993" xr:uid="{00000000-0005-0000-0000-000099320000}"/>
    <cellStyle name="40% - Accent4 3 5 2 3 3" xfId="22302" xr:uid="{00000000-0005-0000-0000-00009A320000}"/>
    <cellStyle name="40% - Accent4 3 5 2 4" xfId="9994" xr:uid="{00000000-0005-0000-0000-00009B320000}"/>
    <cellStyle name="40% - Accent4 3 5 2 5" xfId="19715" xr:uid="{00000000-0005-0000-0000-00009C320000}"/>
    <cellStyle name="40% - Accent4 3 5 3" xfId="9995" xr:uid="{00000000-0005-0000-0000-00009D320000}"/>
    <cellStyle name="40% - Accent4 3 5 3 2" xfId="9996" xr:uid="{00000000-0005-0000-0000-00009E320000}"/>
    <cellStyle name="40% - Accent4 3 5 3 2 2" xfId="9997" xr:uid="{00000000-0005-0000-0000-00009F320000}"/>
    <cellStyle name="40% - Accent4 3 5 3 2 3" xfId="22947" xr:uid="{00000000-0005-0000-0000-0000A0320000}"/>
    <cellStyle name="40% - Accent4 3 5 3 3" xfId="9998" xr:uid="{00000000-0005-0000-0000-0000A1320000}"/>
    <cellStyle name="40% - Accent4 3 5 3 4" xfId="20364" xr:uid="{00000000-0005-0000-0000-0000A2320000}"/>
    <cellStyle name="40% - Accent4 3 5 4" xfId="9999" xr:uid="{00000000-0005-0000-0000-0000A3320000}"/>
    <cellStyle name="40% - Accent4 3 5 4 2" xfId="10000" xr:uid="{00000000-0005-0000-0000-0000A4320000}"/>
    <cellStyle name="40% - Accent4 3 5 4 3" xfId="21657" xr:uid="{00000000-0005-0000-0000-0000A5320000}"/>
    <cellStyle name="40% - Accent4 3 5 5" xfId="10001" xr:uid="{00000000-0005-0000-0000-0000A6320000}"/>
    <cellStyle name="40% - Accent4 3 5 6" xfId="19067" xr:uid="{00000000-0005-0000-0000-0000A7320000}"/>
    <cellStyle name="40% - Accent4 3 6" xfId="10002" xr:uid="{00000000-0005-0000-0000-0000A8320000}"/>
    <cellStyle name="40% - Accent4 3 6 2" xfId="10003" xr:uid="{00000000-0005-0000-0000-0000A9320000}"/>
    <cellStyle name="40% - Accent4 3 6 2 2" xfId="10004" xr:uid="{00000000-0005-0000-0000-0000AA320000}"/>
    <cellStyle name="40% - Accent4 3 6 2 2 2" xfId="10005" xr:uid="{00000000-0005-0000-0000-0000AB320000}"/>
    <cellStyle name="40% - Accent4 3 6 2 2 3" xfId="23269" xr:uid="{00000000-0005-0000-0000-0000AC320000}"/>
    <cellStyle name="40% - Accent4 3 6 2 3" xfId="10006" xr:uid="{00000000-0005-0000-0000-0000AD320000}"/>
    <cellStyle name="40% - Accent4 3 6 2 4" xfId="20686" xr:uid="{00000000-0005-0000-0000-0000AE320000}"/>
    <cellStyle name="40% - Accent4 3 6 3" xfId="10007" xr:uid="{00000000-0005-0000-0000-0000AF320000}"/>
    <cellStyle name="40% - Accent4 3 6 3 2" xfId="10008" xr:uid="{00000000-0005-0000-0000-0000B0320000}"/>
    <cellStyle name="40% - Accent4 3 6 3 3" xfId="21979" xr:uid="{00000000-0005-0000-0000-0000B1320000}"/>
    <cellStyle name="40% - Accent4 3 6 4" xfId="10009" xr:uid="{00000000-0005-0000-0000-0000B2320000}"/>
    <cellStyle name="40% - Accent4 3 6 5" xfId="19393" xr:uid="{00000000-0005-0000-0000-0000B3320000}"/>
    <cellStyle name="40% - Accent4 3 7" xfId="10010" xr:uid="{00000000-0005-0000-0000-0000B4320000}"/>
    <cellStyle name="40% - Accent4 3 7 2" xfId="10011" xr:uid="{00000000-0005-0000-0000-0000B5320000}"/>
    <cellStyle name="40% - Accent4 3 7 2 2" xfId="10012" xr:uid="{00000000-0005-0000-0000-0000B6320000}"/>
    <cellStyle name="40% - Accent4 3 7 2 3" xfId="22624" xr:uid="{00000000-0005-0000-0000-0000B7320000}"/>
    <cellStyle name="40% - Accent4 3 7 3" xfId="10013" xr:uid="{00000000-0005-0000-0000-0000B8320000}"/>
    <cellStyle name="40% - Accent4 3 7 4" xfId="20041" xr:uid="{00000000-0005-0000-0000-0000B9320000}"/>
    <cellStyle name="40% - Accent4 3 8" xfId="10014" xr:uid="{00000000-0005-0000-0000-0000BA320000}"/>
    <cellStyle name="40% - Accent4 3 8 2" xfId="10015" xr:uid="{00000000-0005-0000-0000-0000BB320000}"/>
    <cellStyle name="40% - Accent4 3 8 3" xfId="21334" xr:uid="{00000000-0005-0000-0000-0000BC320000}"/>
    <cellStyle name="40% - Accent4 3 9" xfId="10016" xr:uid="{00000000-0005-0000-0000-0000BD320000}"/>
    <cellStyle name="40% - Accent4 4" xfId="10017" xr:uid="{00000000-0005-0000-0000-0000BE320000}"/>
    <cellStyle name="40% - Accent4 4 2" xfId="10018" xr:uid="{00000000-0005-0000-0000-0000BF320000}"/>
    <cellStyle name="40% - Accent4 4 2 2" xfId="10019" xr:uid="{00000000-0005-0000-0000-0000C0320000}"/>
    <cellStyle name="40% - Accent4 4 2 2 2" xfId="10020" xr:uid="{00000000-0005-0000-0000-0000C1320000}"/>
    <cellStyle name="40% - Accent4 4 2 2 2 2" xfId="10021" xr:uid="{00000000-0005-0000-0000-0000C2320000}"/>
    <cellStyle name="40% - Accent4 4 2 2 2 2 2" xfId="10022" xr:uid="{00000000-0005-0000-0000-0000C3320000}"/>
    <cellStyle name="40% - Accent4 4 2 2 2 2 2 2" xfId="10023" xr:uid="{00000000-0005-0000-0000-0000C4320000}"/>
    <cellStyle name="40% - Accent4 4 2 2 2 2 2 2 2" xfId="10024" xr:uid="{00000000-0005-0000-0000-0000C5320000}"/>
    <cellStyle name="40% - Accent4 4 2 2 2 2 2 2 3" xfId="23853" xr:uid="{00000000-0005-0000-0000-0000C6320000}"/>
    <cellStyle name="40% - Accent4 4 2 2 2 2 2 3" xfId="10025" xr:uid="{00000000-0005-0000-0000-0000C7320000}"/>
    <cellStyle name="40% - Accent4 4 2 2 2 2 2 4" xfId="21270" xr:uid="{00000000-0005-0000-0000-0000C8320000}"/>
    <cellStyle name="40% - Accent4 4 2 2 2 2 3" xfId="10026" xr:uid="{00000000-0005-0000-0000-0000C9320000}"/>
    <cellStyle name="40% - Accent4 4 2 2 2 2 3 2" xfId="10027" xr:uid="{00000000-0005-0000-0000-0000CA320000}"/>
    <cellStyle name="40% - Accent4 4 2 2 2 2 3 3" xfId="22563" xr:uid="{00000000-0005-0000-0000-0000CB320000}"/>
    <cellStyle name="40% - Accent4 4 2 2 2 2 4" xfId="10028" xr:uid="{00000000-0005-0000-0000-0000CC320000}"/>
    <cellStyle name="40% - Accent4 4 2 2 2 2 5" xfId="19976" xr:uid="{00000000-0005-0000-0000-0000CD320000}"/>
    <cellStyle name="40% - Accent4 4 2 2 2 3" xfId="10029" xr:uid="{00000000-0005-0000-0000-0000CE320000}"/>
    <cellStyle name="40% - Accent4 4 2 2 2 3 2" xfId="10030" xr:uid="{00000000-0005-0000-0000-0000CF320000}"/>
    <cellStyle name="40% - Accent4 4 2 2 2 3 2 2" xfId="10031" xr:uid="{00000000-0005-0000-0000-0000D0320000}"/>
    <cellStyle name="40% - Accent4 4 2 2 2 3 2 3" xfId="23208" xr:uid="{00000000-0005-0000-0000-0000D1320000}"/>
    <cellStyle name="40% - Accent4 4 2 2 2 3 3" xfId="10032" xr:uid="{00000000-0005-0000-0000-0000D2320000}"/>
    <cellStyle name="40% - Accent4 4 2 2 2 3 4" xfId="20625" xr:uid="{00000000-0005-0000-0000-0000D3320000}"/>
    <cellStyle name="40% - Accent4 4 2 2 2 4" xfId="10033" xr:uid="{00000000-0005-0000-0000-0000D4320000}"/>
    <cellStyle name="40% - Accent4 4 2 2 2 4 2" xfId="10034" xr:uid="{00000000-0005-0000-0000-0000D5320000}"/>
    <cellStyle name="40% - Accent4 4 2 2 2 4 3" xfId="21918" xr:uid="{00000000-0005-0000-0000-0000D6320000}"/>
    <cellStyle name="40% - Accent4 4 2 2 2 5" xfId="10035" xr:uid="{00000000-0005-0000-0000-0000D7320000}"/>
    <cellStyle name="40% - Accent4 4 2 2 2 6" xfId="19328" xr:uid="{00000000-0005-0000-0000-0000D8320000}"/>
    <cellStyle name="40% - Accent4 4 2 2 3" xfId="10036" xr:uid="{00000000-0005-0000-0000-0000D9320000}"/>
    <cellStyle name="40% - Accent4 4 2 2 3 2" xfId="10037" xr:uid="{00000000-0005-0000-0000-0000DA320000}"/>
    <cellStyle name="40% - Accent4 4 2 2 3 2 2" xfId="10038" xr:uid="{00000000-0005-0000-0000-0000DB320000}"/>
    <cellStyle name="40% - Accent4 4 2 2 3 2 2 2" xfId="10039" xr:uid="{00000000-0005-0000-0000-0000DC320000}"/>
    <cellStyle name="40% - Accent4 4 2 2 3 2 2 3" xfId="23531" xr:uid="{00000000-0005-0000-0000-0000DD320000}"/>
    <cellStyle name="40% - Accent4 4 2 2 3 2 3" xfId="10040" xr:uid="{00000000-0005-0000-0000-0000DE320000}"/>
    <cellStyle name="40% - Accent4 4 2 2 3 2 4" xfId="20948" xr:uid="{00000000-0005-0000-0000-0000DF320000}"/>
    <cellStyle name="40% - Accent4 4 2 2 3 3" xfId="10041" xr:uid="{00000000-0005-0000-0000-0000E0320000}"/>
    <cellStyle name="40% - Accent4 4 2 2 3 3 2" xfId="10042" xr:uid="{00000000-0005-0000-0000-0000E1320000}"/>
    <cellStyle name="40% - Accent4 4 2 2 3 3 3" xfId="22241" xr:uid="{00000000-0005-0000-0000-0000E2320000}"/>
    <cellStyle name="40% - Accent4 4 2 2 3 4" xfId="10043" xr:uid="{00000000-0005-0000-0000-0000E3320000}"/>
    <cellStyle name="40% - Accent4 4 2 2 3 5" xfId="19654" xr:uid="{00000000-0005-0000-0000-0000E4320000}"/>
    <cellStyle name="40% - Accent4 4 2 2 4" xfId="10044" xr:uid="{00000000-0005-0000-0000-0000E5320000}"/>
    <cellStyle name="40% - Accent4 4 2 2 4 2" xfId="10045" xr:uid="{00000000-0005-0000-0000-0000E6320000}"/>
    <cellStyle name="40% - Accent4 4 2 2 4 2 2" xfId="10046" xr:uid="{00000000-0005-0000-0000-0000E7320000}"/>
    <cellStyle name="40% - Accent4 4 2 2 4 2 3" xfId="22886" xr:uid="{00000000-0005-0000-0000-0000E8320000}"/>
    <cellStyle name="40% - Accent4 4 2 2 4 3" xfId="10047" xr:uid="{00000000-0005-0000-0000-0000E9320000}"/>
    <cellStyle name="40% - Accent4 4 2 2 4 4" xfId="20303" xr:uid="{00000000-0005-0000-0000-0000EA320000}"/>
    <cellStyle name="40% - Accent4 4 2 2 5" xfId="10048" xr:uid="{00000000-0005-0000-0000-0000EB320000}"/>
    <cellStyle name="40% - Accent4 4 2 2 5 2" xfId="10049" xr:uid="{00000000-0005-0000-0000-0000EC320000}"/>
    <cellStyle name="40% - Accent4 4 2 2 5 3" xfId="21596" xr:uid="{00000000-0005-0000-0000-0000ED320000}"/>
    <cellStyle name="40% - Accent4 4 2 2 6" xfId="10050" xr:uid="{00000000-0005-0000-0000-0000EE320000}"/>
    <cellStyle name="40% - Accent4 4 2 2 7" xfId="19002" xr:uid="{00000000-0005-0000-0000-0000EF320000}"/>
    <cellStyle name="40% - Accent4 4 2 3" xfId="10051" xr:uid="{00000000-0005-0000-0000-0000F0320000}"/>
    <cellStyle name="40% - Accent4 4 2 3 2" xfId="10052" xr:uid="{00000000-0005-0000-0000-0000F1320000}"/>
    <cellStyle name="40% - Accent4 4 2 3 2 2" xfId="10053" xr:uid="{00000000-0005-0000-0000-0000F2320000}"/>
    <cellStyle name="40% - Accent4 4 2 3 2 2 2" xfId="10054" xr:uid="{00000000-0005-0000-0000-0000F3320000}"/>
    <cellStyle name="40% - Accent4 4 2 3 2 2 2 2" xfId="10055" xr:uid="{00000000-0005-0000-0000-0000F4320000}"/>
    <cellStyle name="40% - Accent4 4 2 3 2 2 2 3" xfId="23692" xr:uid="{00000000-0005-0000-0000-0000F5320000}"/>
    <cellStyle name="40% - Accent4 4 2 3 2 2 3" xfId="10056" xr:uid="{00000000-0005-0000-0000-0000F6320000}"/>
    <cellStyle name="40% - Accent4 4 2 3 2 2 4" xfId="21109" xr:uid="{00000000-0005-0000-0000-0000F7320000}"/>
    <cellStyle name="40% - Accent4 4 2 3 2 3" xfId="10057" xr:uid="{00000000-0005-0000-0000-0000F8320000}"/>
    <cellStyle name="40% - Accent4 4 2 3 2 3 2" xfId="10058" xr:uid="{00000000-0005-0000-0000-0000F9320000}"/>
    <cellStyle name="40% - Accent4 4 2 3 2 3 3" xfId="22402" xr:uid="{00000000-0005-0000-0000-0000FA320000}"/>
    <cellStyle name="40% - Accent4 4 2 3 2 4" xfId="10059" xr:uid="{00000000-0005-0000-0000-0000FB320000}"/>
    <cellStyle name="40% - Accent4 4 2 3 2 5" xfId="19815" xr:uid="{00000000-0005-0000-0000-0000FC320000}"/>
    <cellStyle name="40% - Accent4 4 2 3 3" xfId="10060" xr:uid="{00000000-0005-0000-0000-0000FD320000}"/>
    <cellStyle name="40% - Accent4 4 2 3 3 2" xfId="10061" xr:uid="{00000000-0005-0000-0000-0000FE320000}"/>
    <cellStyle name="40% - Accent4 4 2 3 3 2 2" xfId="10062" xr:uid="{00000000-0005-0000-0000-0000FF320000}"/>
    <cellStyle name="40% - Accent4 4 2 3 3 2 3" xfId="23047" xr:uid="{00000000-0005-0000-0000-000000330000}"/>
    <cellStyle name="40% - Accent4 4 2 3 3 3" xfId="10063" xr:uid="{00000000-0005-0000-0000-000001330000}"/>
    <cellStyle name="40% - Accent4 4 2 3 3 4" xfId="20464" xr:uid="{00000000-0005-0000-0000-000002330000}"/>
    <cellStyle name="40% - Accent4 4 2 3 4" xfId="10064" xr:uid="{00000000-0005-0000-0000-000003330000}"/>
    <cellStyle name="40% - Accent4 4 2 3 4 2" xfId="10065" xr:uid="{00000000-0005-0000-0000-000004330000}"/>
    <cellStyle name="40% - Accent4 4 2 3 4 3" xfId="21757" xr:uid="{00000000-0005-0000-0000-000005330000}"/>
    <cellStyle name="40% - Accent4 4 2 3 5" xfId="10066" xr:uid="{00000000-0005-0000-0000-000006330000}"/>
    <cellStyle name="40% - Accent4 4 2 3 6" xfId="19167" xr:uid="{00000000-0005-0000-0000-000007330000}"/>
    <cellStyle name="40% - Accent4 4 2 4" xfId="10067" xr:uid="{00000000-0005-0000-0000-000008330000}"/>
    <cellStyle name="40% - Accent4 4 2 4 2" xfId="10068" xr:uid="{00000000-0005-0000-0000-000009330000}"/>
    <cellStyle name="40% - Accent4 4 2 4 2 2" xfId="10069" xr:uid="{00000000-0005-0000-0000-00000A330000}"/>
    <cellStyle name="40% - Accent4 4 2 4 2 2 2" xfId="10070" xr:uid="{00000000-0005-0000-0000-00000B330000}"/>
    <cellStyle name="40% - Accent4 4 2 4 2 2 3" xfId="23370" xr:uid="{00000000-0005-0000-0000-00000C330000}"/>
    <cellStyle name="40% - Accent4 4 2 4 2 3" xfId="10071" xr:uid="{00000000-0005-0000-0000-00000D330000}"/>
    <cellStyle name="40% - Accent4 4 2 4 2 4" xfId="20787" xr:uid="{00000000-0005-0000-0000-00000E330000}"/>
    <cellStyle name="40% - Accent4 4 2 4 3" xfId="10072" xr:uid="{00000000-0005-0000-0000-00000F330000}"/>
    <cellStyle name="40% - Accent4 4 2 4 3 2" xfId="10073" xr:uid="{00000000-0005-0000-0000-000010330000}"/>
    <cellStyle name="40% - Accent4 4 2 4 3 3" xfId="22080" xr:uid="{00000000-0005-0000-0000-000011330000}"/>
    <cellStyle name="40% - Accent4 4 2 4 4" xfId="10074" xr:uid="{00000000-0005-0000-0000-000012330000}"/>
    <cellStyle name="40% - Accent4 4 2 4 5" xfId="19493" xr:uid="{00000000-0005-0000-0000-000013330000}"/>
    <cellStyle name="40% - Accent4 4 2 5" xfId="10075" xr:uid="{00000000-0005-0000-0000-000014330000}"/>
    <cellStyle name="40% - Accent4 4 2 5 2" xfId="10076" xr:uid="{00000000-0005-0000-0000-000015330000}"/>
    <cellStyle name="40% - Accent4 4 2 5 2 2" xfId="10077" xr:uid="{00000000-0005-0000-0000-000016330000}"/>
    <cellStyle name="40% - Accent4 4 2 5 2 3" xfId="22725" xr:uid="{00000000-0005-0000-0000-000017330000}"/>
    <cellStyle name="40% - Accent4 4 2 5 3" xfId="10078" xr:uid="{00000000-0005-0000-0000-000018330000}"/>
    <cellStyle name="40% - Accent4 4 2 5 4" xfId="20142" xr:uid="{00000000-0005-0000-0000-000019330000}"/>
    <cellStyle name="40% - Accent4 4 2 6" xfId="10079" xr:uid="{00000000-0005-0000-0000-00001A330000}"/>
    <cellStyle name="40% - Accent4 4 2 6 2" xfId="10080" xr:uid="{00000000-0005-0000-0000-00001B330000}"/>
    <cellStyle name="40% - Accent4 4 2 6 3" xfId="21435" xr:uid="{00000000-0005-0000-0000-00001C330000}"/>
    <cellStyle name="40% - Accent4 4 2 7" xfId="10081" xr:uid="{00000000-0005-0000-0000-00001D330000}"/>
    <cellStyle name="40% - Accent4 4 2 8" xfId="18836" xr:uid="{00000000-0005-0000-0000-00001E330000}"/>
    <cellStyle name="40% - Accent4 4 3" xfId="10082" xr:uid="{00000000-0005-0000-0000-00001F330000}"/>
    <cellStyle name="40% - Accent4 4 3 2" xfId="10083" xr:uid="{00000000-0005-0000-0000-000020330000}"/>
    <cellStyle name="40% - Accent4 4 3 2 2" xfId="10084" xr:uid="{00000000-0005-0000-0000-000021330000}"/>
    <cellStyle name="40% - Accent4 4 3 2 2 2" xfId="10085" xr:uid="{00000000-0005-0000-0000-000022330000}"/>
    <cellStyle name="40% - Accent4 4 3 2 2 2 2" xfId="10086" xr:uid="{00000000-0005-0000-0000-000023330000}"/>
    <cellStyle name="40% - Accent4 4 3 2 2 2 2 2" xfId="10087" xr:uid="{00000000-0005-0000-0000-000024330000}"/>
    <cellStyle name="40% - Accent4 4 3 2 2 2 2 3" xfId="23773" xr:uid="{00000000-0005-0000-0000-000025330000}"/>
    <cellStyle name="40% - Accent4 4 3 2 2 2 3" xfId="10088" xr:uid="{00000000-0005-0000-0000-000026330000}"/>
    <cellStyle name="40% - Accent4 4 3 2 2 2 4" xfId="21190" xr:uid="{00000000-0005-0000-0000-000027330000}"/>
    <cellStyle name="40% - Accent4 4 3 2 2 3" xfId="10089" xr:uid="{00000000-0005-0000-0000-000028330000}"/>
    <cellStyle name="40% - Accent4 4 3 2 2 3 2" xfId="10090" xr:uid="{00000000-0005-0000-0000-000029330000}"/>
    <cellStyle name="40% - Accent4 4 3 2 2 3 3" xfId="22483" xr:uid="{00000000-0005-0000-0000-00002A330000}"/>
    <cellStyle name="40% - Accent4 4 3 2 2 4" xfId="10091" xr:uid="{00000000-0005-0000-0000-00002B330000}"/>
    <cellStyle name="40% - Accent4 4 3 2 2 5" xfId="19896" xr:uid="{00000000-0005-0000-0000-00002C330000}"/>
    <cellStyle name="40% - Accent4 4 3 2 3" xfId="10092" xr:uid="{00000000-0005-0000-0000-00002D330000}"/>
    <cellStyle name="40% - Accent4 4 3 2 3 2" xfId="10093" xr:uid="{00000000-0005-0000-0000-00002E330000}"/>
    <cellStyle name="40% - Accent4 4 3 2 3 2 2" xfId="10094" xr:uid="{00000000-0005-0000-0000-00002F330000}"/>
    <cellStyle name="40% - Accent4 4 3 2 3 2 3" xfId="23128" xr:uid="{00000000-0005-0000-0000-000030330000}"/>
    <cellStyle name="40% - Accent4 4 3 2 3 3" xfId="10095" xr:uid="{00000000-0005-0000-0000-000031330000}"/>
    <cellStyle name="40% - Accent4 4 3 2 3 4" xfId="20545" xr:uid="{00000000-0005-0000-0000-000032330000}"/>
    <cellStyle name="40% - Accent4 4 3 2 4" xfId="10096" xr:uid="{00000000-0005-0000-0000-000033330000}"/>
    <cellStyle name="40% - Accent4 4 3 2 4 2" xfId="10097" xr:uid="{00000000-0005-0000-0000-000034330000}"/>
    <cellStyle name="40% - Accent4 4 3 2 4 3" xfId="21838" xr:uid="{00000000-0005-0000-0000-000035330000}"/>
    <cellStyle name="40% - Accent4 4 3 2 5" xfId="10098" xr:uid="{00000000-0005-0000-0000-000036330000}"/>
    <cellStyle name="40% - Accent4 4 3 2 6" xfId="19248" xr:uid="{00000000-0005-0000-0000-000037330000}"/>
    <cellStyle name="40% - Accent4 4 3 3" xfId="10099" xr:uid="{00000000-0005-0000-0000-000038330000}"/>
    <cellStyle name="40% - Accent4 4 3 3 2" xfId="10100" xr:uid="{00000000-0005-0000-0000-000039330000}"/>
    <cellStyle name="40% - Accent4 4 3 3 2 2" xfId="10101" xr:uid="{00000000-0005-0000-0000-00003A330000}"/>
    <cellStyle name="40% - Accent4 4 3 3 2 2 2" xfId="10102" xr:uid="{00000000-0005-0000-0000-00003B330000}"/>
    <cellStyle name="40% - Accent4 4 3 3 2 2 3" xfId="23451" xr:uid="{00000000-0005-0000-0000-00003C330000}"/>
    <cellStyle name="40% - Accent4 4 3 3 2 3" xfId="10103" xr:uid="{00000000-0005-0000-0000-00003D330000}"/>
    <cellStyle name="40% - Accent4 4 3 3 2 4" xfId="20868" xr:uid="{00000000-0005-0000-0000-00003E330000}"/>
    <cellStyle name="40% - Accent4 4 3 3 3" xfId="10104" xr:uid="{00000000-0005-0000-0000-00003F330000}"/>
    <cellStyle name="40% - Accent4 4 3 3 3 2" xfId="10105" xr:uid="{00000000-0005-0000-0000-000040330000}"/>
    <cellStyle name="40% - Accent4 4 3 3 3 3" xfId="22161" xr:uid="{00000000-0005-0000-0000-000041330000}"/>
    <cellStyle name="40% - Accent4 4 3 3 4" xfId="10106" xr:uid="{00000000-0005-0000-0000-000042330000}"/>
    <cellStyle name="40% - Accent4 4 3 3 5" xfId="19574" xr:uid="{00000000-0005-0000-0000-000043330000}"/>
    <cellStyle name="40% - Accent4 4 3 4" xfId="10107" xr:uid="{00000000-0005-0000-0000-000044330000}"/>
    <cellStyle name="40% - Accent4 4 3 4 2" xfId="10108" xr:uid="{00000000-0005-0000-0000-000045330000}"/>
    <cellStyle name="40% - Accent4 4 3 4 2 2" xfId="10109" xr:uid="{00000000-0005-0000-0000-000046330000}"/>
    <cellStyle name="40% - Accent4 4 3 4 2 3" xfId="22806" xr:uid="{00000000-0005-0000-0000-000047330000}"/>
    <cellStyle name="40% - Accent4 4 3 4 3" xfId="10110" xr:uid="{00000000-0005-0000-0000-000048330000}"/>
    <cellStyle name="40% - Accent4 4 3 4 4" xfId="20223" xr:uid="{00000000-0005-0000-0000-000049330000}"/>
    <cellStyle name="40% - Accent4 4 3 5" xfId="10111" xr:uid="{00000000-0005-0000-0000-00004A330000}"/>
    <cellStyle name="40% - Accent4 4 3 5 2" xfId="10112" xr:uid="{00000000-0005-0000-0000-00004B330000}"/>
    <cellStyle name="40% - Accent4 4 3 5 3" xfId="21516" xr:uid="{00000000-0005-0000-0000-00004C330000}"/>
    <cellStyle name="40% - Accent4 4 3 6" xfId="10113" xr:uid="{00000000-0005-0000-0000-00004D330000}"/>
    <cellStyle name="40% - Accent4 4 3 7" xfId="18922" xr:uid="{00000000-0005-0000-0000-00004E330000}"/>
    <cellStyle name="40% - Accent4 4 4" xfId="10114" xr:uid="{00000000-0005-0000-0000-00004F330000}"/>
    <cellStyle name="40% - Accent4 4 4 2" xfId="10115" xr:uid="{00000000-0005-0000-0000-000050330000}"/>
    <cellStyle name="40% - Accent4 4 4 2 2" xfId="10116" xr:uid="{00000000-0005-0000-0000-000051330000}"/>
    <cellStyle name="40% - Accent4 4 4 2 2 2" xfId="10117" xr:uid="{00000000-0005-0000-0000-000052330000}"/>
    <cellStyle name="40% - Accent4 4 4 2 2 2 2" xfId="10118" xr:uid="{00000000-0005-0000-0000-000053330000}"/>
    <cellStyle name="40% - Accent4 4 4 2 2 2 3" xfId="23612" xr:uid="{00000000-0005-0000-0000-000054330000}"/>
    <cellStyle name="40% - Accent4 4 4 2 2 3" xfId="10119" xr:uid="{00000000-0005-0000-0000-000055330000}"/>
    <cellStyle name="40% - Accent4 4 4 2 2 4" xfId="21029" xr:uid="{00000000-0005-0000-0000-000056330000}"/>
    <cellStyle name="40% - Accent4 4 4 2 3" xfId="10120" xr:uid="{00000000-0005-0000-0000-000057330000}"/>
    <cellStyle name="40% - Accent4 4 4 2 3 2" xfId="10121" xr:uid="{00000000-0005-0000-0000-000058330000}"/>
    <cellStyle name="40% - Accent4 4 4 2 3 3" xfId="22322" xr:uid="{00000000-0005-0000-0000-000059330000}"/>
    <cellStyle name="40% - Accent4 4 4 2 4" xfId="10122" xr:uid="{00000000-0005-0000-0000-00005A330000}"/>
    <cellStyle name="40% - Accent4 4 4 2 5" xfId="19735" xr:uid="{00000000-0005-0000-0000-00005B330000}"/>
    <cellStyle name="40% - Accent4 4 4 3" xfId="10123" xr:uid="{00000000-0005-0000-0000-00005C330000}"/>
    <cellStyle name="40% - Accent4 4 4 3 2" xfId="10124" xr:uid="{00000000-0005-0000-0000-00005D330000}"/>
    <cellStyle name="40% - Accent4 4 4 3 2 2" xfId="10125" xr:uid="{00000000-0005-0000-0000-00005E330000}"/>
    <cellStyle name="40% - Accent4 4 4 3 2 3" xfId="22967" xr:uid="{00000000-0005-0000-0000-00005F330000}"/>
    <cellStyle name="40% - Accent4 4 4 3 3" xfId="10126" xr:uid="{00000000-0005-0000-0000-000060330000}"/>
    <cellStyle name="40% - Accent4 4 4 3 4" xfId="20384" xr:uid="{00000000-0005-0000-0000-000061330000}"/>
    <cellStyle name="40% - Accent4 4 4 4" xfId="10127" xr:uid="{00000000-0005-0000-0000-000062330000}"/>
    <cellStyle name="40% - Accent4 4 4 4 2" xfId="10128" xr:uid="{00000000-0005-0000-0000-000063330000}"/>
    <cellStyle name="40% - Accent4 4 4 4 3" xfId="21677" xr:uid="{00000000-0005-0000-0000-000064330000}"/>
    <cellStyle name="40% - Accent4 4 4 5" xfId="10129" xr:uid="{00000000-0005-0000-0000-000065330000}"/>
    <cellStyle name="40% - Accent4 4 4 6" xfId="19087" xr:uid="{00000000-0005-0000-0000-000066330000}"/>
    <cellStyle name="40% - Accent4 4 5" xfId="10130" xr:uid="{00000000-0005-0000-0000-000067330000}"/>
    <cellStyle name="40% - Accent4 4 5 2" xfId="10131" xr:uid="{00000000-0005-0000-0000-000068330000}"/>
    <cellStyle name="40% - Accent4 4 5 2 2" xfId="10132" xr:uid="{00000000-0005-0000-0000-000069330000}"/>
    <cellStyle name="40% - Accent4 4 5 2 2 2" xfId="10133" xr:uid="{00000000-0005-0000-0000-00006A330000}"/>
    <cellStyle name="40% - Accent4 4 5 2 2 3" xfId="23289" xr:uid="{00000000-0005-0000-0000-00006B330000}"/>
    <cellStyle name="40% - Accent4 4 5 2 3" xfId="10134" xr:uid="{00000000-0005-0000-0000-00006C330000}"/>
    <cellStyle name="40% - Accent4 4 5 2 4" xfId="20706" xr:uid="{00000000-0005-0000-0000-00006D330000}"/>
    <cellStyle name="40% - Accent4 4 5 3" xfId="10135" xr:uid="{00000000-0005-0000-0000-00006E330000}"/>
    <cellStyle name="40% - Accent4 4 5 3 2" xfId="10136" xr:uid="{00000000-0005-0000-0000-00006F330000}"/>
    <cellStyle name="40% - Accent4 4 5 3 3" xfId="21999" xr:uid="{00000000-0005-0000-0000-000070330000}"/>
    <cellStyle name="40% - Accent4 4 5 4" xfId="10137" xr:uid="{00000000-0005-0000-0000-000071330000}"/>
    <cellStyle name="40% - Accent4 4 5 5" xfId="19413" xr:uid="{00000000-0005-0000-0000-000072330000}"/>
    <cellStyle name="40% - Accent4 4 6" xfId="10138" xr:uid="{00000000-0005-0000-0000-000073330000}"/>
    <cellStyle name="40% - Accent4 4 6 2" xfId="10139" xr:uid="{00000000-0005-0000-0000-000074330000}"/>
    <cellStyle name="40% - Accent4 4 6 2 2" xfId="10140" xr:uid="{00000000-0005-0000-0000-000075330000}"/>
    <cellStyle name="40% - Accent4 4 6 2 3" xfId="22644" xr:uid="{00000000-0005-0000-0000-000076330000}"/>
    <cellStyle name="40% - Accent4 4 6 3" xfId="10141" xr:uid="{00000000-0005-0000-0000-000077330000}"/>
    <cellStyle name="40% - Accent4 4 6 4" xfId="20061" xr:uid="{00000000-0005-0000-0000-000078330000}"/>
    <cellStyle name="40% - Accent4 4 7" xfId="10142" xr:uid="{00000000-0005-0000-0000-000079330000}"/>
    <cellStyle name="40% - Accent4 4 7 2" xfId="10143" xr:uid="{00000000-0005-0000-0000-00007A330000}"/>
    <cellStyle name="40% - Accent4 4 7 3" xfId="21354" xr:uid="{00000000-0005-0000-0000-00007B330000}"/>
    <cellStyle name="40% - Accent4 4 8" xfId="10144" xr:uid="{00000000-0005-0000-0000-00007C330000}"/>
    <cellStyle name="40% - Accent4 4 9" xfId="18736" xr:uid="{00000000-0005-0000-0000-00007D330000}"/>
    <cellStyle name="40% - Accent4 5" xfId="10145" xr:uid="{00000000-0005-0000-0000-00007E330000}"/>
    <cellStyle name="40% - Accent4 5 2" xfId="10146" xr:uid="{00000000-0005-0000-0000-00007F330000}"/>
    <cellStyle name="40% - Accent4 5 2 2" xfId="10147" xr:uid="{00000000-0005-0000-0000-000080330000}"/>
    <cellStyle name="40% - Accent4 5 2 2 2" xfId="10148" xr:uid="{00000000-0005-0000-0000-000081330000}"/>
    <cellStyle name="40% - Accent4 5 2 2 2 2" xfId="10149" xr:uid="{00000000-0005-0000-0000-000082330000}"/>
    <cellStyle name="40% - Accent4 5 2 2 2 2 2" xfId="10150" xr:uid="{00000000-0005-0000-0000-000083330000}"/>
    <cellStyle name="40% - Accent4 5 2 2 2 2 2 2" xfId="10151" xr:uid="{00000000-0005-0000-0000-000084330000}"/>
    <cellStyle name="40% - Accent4 5 2 2 2 2 2 3" xfId="23813" xr:uid="{00000000-0005-0000-0000-000085330000}"/>
    <cellStyle name="40% - Accent4 5 2 2 2 2 3" xfId="10152" xr:uid="{00000000-0005-0000-0000-000086330000}"/>
    <cellStyle name="40% - Accent4 5 2 2 2 2 4" xfId="21230" xr:uid="{00000000-0005-0000-0000-000087330000}"/>
    <cellStyle name="40% - Accent4 5 2 2 2 3" xfId="10153" xr:uid="{00000000-0005-0000-0000-000088330000}"/>
    <cellStyle name="40% - Accent4 5 2 2 2 3 2" xfId="10154" xr:uid="{00000000-0005-0000-0000-000089330000}"/>
    <cellStyle name="40% - Accent4 5 2 2 2 3 3" xfId="22523" xr:uid="{00000000-0005-0000-0000-00008A330000}"/>
    <cellStyle name="40% - Accent4 5 2 2 2 4" xfId="10155" xr:uid="{00000000-0005-0000-0000-00008B330000}"/>
    <cellStyle name="40% - Accent4 5 2 2 2 5" xfId="19936" xr:uid="{00000000-0005-0000-0000-00008C330000}"/>
    <cellStyle name="40% - Accent4 5 2 2 3" xfId="10156" xr:uid="{00000000-0005-0000-0000-00008D330000}"/>
    <cellStyle name="40% - Accent4 5 2 2 3 2" xfId="10157" xr:uid="{00000000-0005-0000-0000-00008E330000}"/>
    <cellStyle name="40% - Accent4 5 2 2 3 2 2" xfId="10158" xr:uid="{00000000-0005-0000-0000-00008F330000}"/>
    <cellStyle name="40% - Accent4 5 2 2 3 2 3" xfId="23168" xr:uid="{00000000-0005-0000-0000-000090330000}"/>
    <cellStyle name="40% - Accent4 5 2 2 3 3" xfId="10159" xr:uid="{00000000-0005-0000-0000-000091330000}"/>
    <cellStyle name="40% - Accent4 5 2 2 3 4" xfId="20585" xr:uid="{00000000-0005-0000-0000-000092330000}"/>
    <cellStyle name="40% - Accent4 5 2 2 4" xfId="10160" xr:uid="{00000000-0005-0000-0000-000093330000}"/>
    <cellStyle name="40% - Accent4 5 2 2 4 2" xfId="10161" xr:uid="{00000000-0005-0000-0000-000094330000}"/>
    <cellStyle name="40% - Accent4 5 2 2 4 3" xfId="21878" xr:uid="{00000000-0005-0000-0000-000095330000}"/>
    <cellStyle name="40% - Accent4 5 2 2 5" xfId="10162" xr:uid="{00000000-0005-0000-0000-000096330000}"/>
    <cellStyle name="40% - Accent4 5 2 2 6" xfId="19288" xr:uid="{00000000-0005-0000-0000-000097330000}"/>
    <cellStyle name="40% - Accent4 5 2 3" xfId="10163" xr:uid="{00000000-0005-0000-0000-000098330000}"/>
    <cellStyle name="40% - Accent4 5 2 3 2" xfId="10164" xr:uid="{00000000-0005-0000-0000-000099330000}"/>
    <cellStyle name="40% - Accent4 5 2 3 2 2" xfId="10165" xr:uid="{00000000-0005-0000-0000-00009A330000}"/>
    <cellStyle name="40% - Accent4 5 2 3 2 2 2" xfId="10166" xr:uid="{00000000-0005-0000-0000-00009B330000}"/>
    <cellStyle name="40% - Accent4 5 2 3 2 2 3" xfId="23491" xr:uid="{00000000-0005-0000-0000-00009C330000}"/>
    <cellStyle name="40% - Accent4 5 2 3 2 3" xfId="10167" xr:uid="{00000000-0005-0000-0000-00009D330000}"/>
    <cellStyle name="40% - Accent4 5 2 3 2 4" xfId="20908" xr:uid="{00000000-0005-0000-0000-00009E330000}"/>
    <cellStyle name="40% - Accent4 5 2 3 3" xfId="10168" xr:uid="{00000000-0005-0000-0000-00009F330000}"/>
    <cellStyle name="40% - Accent4 5 2 3 3 2" xfId="10169" xr:uid="{00000000-0005-0000-0000-0000A0330000}"/>
    <cellStyle name="40% - Accent4 5 2 3 3 3" xfId="22201" xr:uid="{00000000-0005-0000-0000-0000A1330000}"/>
    <cellStyle name="40% - Accent4 5 2 3 4" xfId="10170" xr:uid="{00000000-0005-0000-0000-0000A2330000}"/>
    <cellStyle name="40% - Accent4 5 2 3 5" xfId="19614" xr:uid="{00000000-0005-0000-0000-0000A3330000}"/>
    <cellStyle name="40% - Accent4 5 2 4" xfId="10171" xr:uid="{00000000-0005-0000-0000-0000A4330000}"/>
    <cellStyle name="40% - Accent4 5 2 4 2" xfId="10172" xr:uid="{00000000-0005-0000-0000-0000A5330000}"/>
    <cellStyle name="40% - Accent4 5 2 4 2 2" xfId="10173" xr:uid="{00000000-0005-0000-0000-0000A6330000}"/>
    <cellStyle name="40% - Accent4 5 2 4 2 3" xfId="22846" xr:uid="{00000000-0005-0000-0000-0000A7330000}"/>
    <cellStyle name="40% - Accent4 5 2 4 3" xfId="10174" xr:uid="{00000000-0005-0000-0000-0000A8330000}"/>
    <cellStyle name="40% - Accent4 5 2 4 4" xfId="20263" xr:uid="{00000000-0005-0000-0000-0000A9330000}"/>
    <cellStyle name="40% - Accent4 5 2 5" xfId="10175" xr:uid="{00000000-0005-0000-0000-0000AA330000}"/>
    <cellStyle name="40% - Accent4 5 2 5 2" xfId="10176" xr:uid="{00000000-0005-0000-0000-0000AB330000}"/>
    <cellStyle name="40% - Accent4 5 2 5 3" xfId="21556" xr:uid="{00000000-0005-0000-0000-0000AC330000}"/>
    <cellStyle name="40% - Accent4 5 2 6" xfId="10177" xr:uid="{00000000-0005-0000-0000-0000AD330000}"/>
    <cellStyle name="40% - Accent4 5 2 7" xfId="18962" xr:uid="{00000000-0005-0000-0000-0000AE330000}"/>
    <cellStyle name="40% - Accent4 5 3" xfId="10178" xr:uid="{00000000-0005-0000-0000-0000AF330000}"/>
    <cellStyle name="40% - Accent4 5 3 2" xfId="10179" xr:uid="{00000000-0005-0000-0000-0000B0330000}"/>
    <cellStyle name="40% - Accent4 5 3 2 2" xfId="10180" xr:uid="{00000000-0005-0000-0000-0000B1330000}"/>
    <cellStyle name="40% - Accent4 5 3 2 2 2" xfId="10181" xr:uid="{00000000-0005-0000-0000-0000B2330000}"/>
    <cellStyle name="40% - Accent4 5 3 2 2 2 2" xfId="10182" xr:uid="{00000000-0005-0000-0000-0000B3330000}"/>
    <cellStyle name="40% - Accent4 5 3 2 2 2 3" xfId="23652" xr:uid="{00000000-0005-0000-0000-0000B4330000}"/>
    <cellStyle name="40% - Accent4 5 3 2 2 3" xfId="10183" xr:uid="{00000000-0005-0000-0000-0000B5330000}"/>
    <cellStyle name="40% - Accent4 5 3 2 2 4" xfId="21069" xr:uid="{00000000-0005-0000-0000-0000B6330000}"/>
    <cellStyle name="40% - Accent4 5 3 2 3" xfId="10184" xr:uid="{00000000-0005-0000-0000-0000B7330000}"/>
    <cellStyle name="40% - Accent4 5 3 2 3 2" xfId="10185" xr:uid="{00000000-0005-0000-0000-0000B8330000}"/>
    <cellStyle name="40% - Accent4 5 3 2 3 3" xfId="22362" xr:uid="{00000000-0005-0000-0000-0000B9330000}"/>
    <cellStyle name="40% - Accent4 5 3 2 4" xfId="10186" xr:uid="{00000000-0005-0000-0000-0000BA330000}"/>
    <cellStyle name="40% - Accent4 5 3 2 5" xfId="19775" xr:uid="{00000000-0005-0000-0000-0000BB330000}"/>
    <cellStyle name="40% - Accent4 5 3 3" xfId="10187" xr:uid="{00000000-0005-0000-0000-0000BC330000}"/>
    <cellStyle name="40% - Accent4 5 3 3 2" xfId="10188" xr:uid="{00000000-0005-0000-0000-0000BD330000}"/>
    <cellStyle name="40% - Accent4 5 3 3 2 2" xfId="10189" xr:uid="{00000000-0005-0000-0000-0000BE330000}"/>
    <cellStyle name="40% - Accent4 5 3 3 2 3" xfId="23007" xr:uid="{00000000-0005-0000-0000-0000BF330000}"/>
    <cellStyle name="40% - Accent4 5 3 3 3" xfId="10190" xr:uid="{00000000-0005-0000-0000-0000C0330000}"/>
    <cellStyle name="40% - Accent4 5 3 3 4" xfId="20424" xr:uid="{00000000-0005-0000-0000-0000C1330000}"/>
    <cellStyle name="40% - Accent4 5 3 4" xfId="10191" xr:uid="{00000000-0005-0000-0000-0000C2330000}"/>
    <cellStyle name="40% - Accent4 5 3 4 2" xfId="10192" xr:uid="{00000000-0005-0000-0000-0000C3330000}"/>
    <cellStyle name="40% - Accent4 5 3 4 3" xfId="21717" xr:uid="{00000000-0005-0000-0000-0000C4330000}"/>
    <cellStyle name="40% - Accent4 5 3 5" xfId="10193" xr:uid="{00000000-0005-0000-0000-0000C5330000}"/>
    <cellStyle name="40% - Accent4 5 3 6" xfId="19127" xr:uid="{00000000-0005-0000-0000-0000C6330000}"/>
    <cellStyle name="40% - Accent4 5 4" xfId="10194" xr:uid="{00000000-0005-0000-0000-0000C7330000}"/>
    <cellStyle name="40% - Accent4 5 4 2" xfId="10195" xr:uid="{00000000-0005-0000-0000-0000C8330000}"/>
    <cellStyle name="40% - Accent4 5 4 2 2" xfId="10196" xr:uid="{00000000-0005-0000-0000-0000C9330000}"/>
    <cellStyle name="40% - Accent4 5 4 2 2 2" xfId="10197" xr:uid="{00000000-0005-0000-0000-0000CA330000}"/>
    <cellStyle name="40% - Accent4 5 4 2 2 3" xfId="23330" xr:uid="{00000000-0005-0000-0000-0000CB330000}"/>
    <cellStyle name="40% - Accent4 5 4 2 3" xfId="10198" xr:uid="{00000000-0005-0000-0000-0000CC330000}"/>
    <cellStyle name="40% - Accent4 5 4 2 4" xfId="20747" xr:uid="{00000000-0005-0000-0000-0000CD330000}"/>
    <cellStyle name="40% - Accent4 5 4 3" xfId="10199" xr:uid="{00000000-0005-0000-0000-0000CE330000}"/>
    <cellStyle name="40% - Accent4 5 4 3 2" xfId="10200" xr:uid="{00000000-0005-0000-0000-0000CF330000}"/>
    <cellStyle name="40% - Accent4 5 4 3 3" xfId="22040" xr:uid="{00000000-0005-0000-0000-0000D0330000}"/>
    <cellStyle name="40% - Accent4 5 4 4" xfId="10201" xr:uid="{00000000-0005-0000-0000-0000D1330000}"/>
    <cellStyle name="40% - Accent4 5 4 5" xfId="19453" xr:uid="{00000000-0005-0000-0000-0000D2330000}"/>
    <cellStyle name="40% - Accent4 5 5" xfId="10202" xr:uid="{00000000-0005-0000-0000-0000D3330000}"/>
    <cellStyle name="40% - Accent4 5 5 2" xfId="10203" xr:uid="{00000000-0005-0000-0000-0000D4330000}"/>
    <cellStyle name="40% - Accent4 5 5 2 2" xfId="10204" xr:uid="{00000000-0005-0000-0000-0000D5330000}"/>
    <cellStyle name="40% - Accent4 5 5 2 3" xfId="22685" xr:uid="{00000000-0005-0000-0000-0000D6330000}"/>
    <cellStyle name="40% - Accent4 5 5 3" xfId="10205" xr:uid="{00000000-0005-0000-0000-0000D7330000}"/>
    <cellStyle name="40% - Accent4 5 5 4" xfId="20102" xr:uid="{00000000-0005-0000-0000-0000D8330000}"/>
    <cellStyle name="40% - Accent4 5 6" xfId="10206" xr:uid="{00000000-0005-0000-0000-0000D9330000}"/>
    <cellStyle name="40% - Accent4 5 6 2" xfId="10207" xr:uid="{00000000-0005-0000-0000-0000DA330000}"/>
    <cellStyle name="40% - Accent4 5 6 3" xfId="21395" xr:uid="{00000000-0005-0000-0000-0000DB330000}"/>
    <cellStyle name="40% - Accent4 5 7" xfId="10208" xr:uid="{00000000-0005-0000-0000-0000DC330000}"/>
    <cellStyle name="40% - Accent4 5 8" xfId="18789" xr:uid="{00000000-0005-0000-0000-0000DD330000}"/>
    <cellStyle name="40% - Accent4 6" xfId="10209" xr:uid="{00000000-0005-0000-0000-0000DE330000}"/>
    <cellStyle name="40% - Accent4 6 2" xfId="10210" xr:uid="{00000000-0005-0000-0000-0000DF330000}"/>
    <cellStyle name="40% - Accent4 6 2 2" xfId="10211" xr:uid="{00000000-0005-0000-0000-0000E0330000}"/>
    <cellStyle name="40% - Accent4 6 2 2 2" xfId="10212" xr:uid="{00000000-0005-0000-0000-0000E1330000}"/>
    <cellStyle name="40% - Accent4 6 2 2 2 2" xfId="10213" xr:uid="{00000000-0005-0000-0000-0000E2330000}"/>
    <cellStyle name="40% - Accent4 6 2 2 2 2 2" xfId="10214" xr:uid="{00000000-0005-0000-0000-0000E3330000}"/>
    <cellStyle name="40% - Accent4 6 2 2 2 2 3" xfId="23733" xr:uid="{00000000-0005-0000-0000-0000E4330000}"/>
    <cellStyle name="40% - Accent4 6 2 2 2 3" xfId="10215" xr:uid="{00000000-0005-0000-0000-0000E5330000}"/>
    <cellStyle name="40% - Accent4 6 2 2 2 4" xfId="21150" xr:uid="{00000000-0005-0000-0000-0000E6330000}"/>
    <cellStyle name="40% - Accent4 6 2 2 3" xfId="10216" xr:uid="{00000000-0005-0000-0000-0000E7330000}"/>
    <cellStyle name="40% - Accent4 6 2 2 3 2" xfId="10217" xr:uid="{00000000-0005-0000-0000-0000E8330000}"/>
    <cellStyle name="40% - Accent4 6 2 2 3 3" xfId="22443" xr:uid="{00000000-0005-0000-0000-0000E9330000}"/>
    <cellStyle name="40% - Accent4 6 2 2 4" xfId="10218" xr:uid="{00000000-0005-0000-0000-0000EA330000}"/>
    <cellStyle name="40% - Accent4 6 2 2 5" xfId="19856" xr:uid="{00000000-0005-0000-0000-0000EB330000}"/>
    <cellStyle name="40% - Accent4 6 2 3" xfId="10219" xr:uid="{00000000-0005-0000-0000-0000EC330000}"/>
    <cellStyle name="40% - Accent4 6 2 3 2" xfId="10220" xr:uid="{00000000-0005-0000-0000-0000ED330000}"/>
    <cellStyle name="40% - Accent4 6 2 3 2 2" xfId="10221" xr:uid="{00000000-0005-0000-0000-0000EE330000}"/>
    <cellStyle name="40% - Accent4 6 2 3 2 3" xfId="23088" xr:uid="{00000000-0005-0000-0000-0000EF330000}"/>
    <cellStyle name="40% - Accent4 6 2 3 3" xfId="10222" xr:uid="{00000000-0005-0000-0000-0000F0330000}"/>
    <cellStyle name="40% - Accent4 6 2 3 4" xfId="20505" xr:uid="{00000000-0005-0000-0000-0000F1330000}"/>
    <cellStyle name="40% - Accent4 6 2 4" xfId="10223" xr:uid="{00000000-0005-0000-0000-0000F2330000}"/>
    <cellStyle name="40% - Accent4 6 2 4 2" xfId="10224" xr:uid="{00000000-0005-0000-0000-0000F3330000}"/>
    <cellStyle name="40% - Accent4 6 2 4 3" xfId="21798" xr:uid="{00000000-0005-0000-0000-0000F4330000}"/>
    <cellStyle name="40% - Accent4 6 2 5" xfId="10225" xr:uid="{00000000-0005-0000-0000-0000F5330000}"/>
    <cellStyle name="40% - Accent4 6 2 6" xfId="19208" xr:uid="{00000000-0005-0000-0000-0000F6330000}"/>
    <cellStyle name="40% - Accent4 6 3" xfId="10226" xr:uid="{00000000-0005-0000-0000-0000F7330000}"/>
    <cellStyle name="40% - Accent4 6 3 2" xfId="10227" xr:uid="{00000000-0005-0000-0000-0000F8330000}"/>
    <cellStyle name="40% - Accent4 6 3 2 2" xfId="10228" xr:uid="{00000000-0005-0000-0000-0000F9330000}"/>
    <cellStyle name="40% - Accent4 6 3 2 2 2" xfId="10229" xr:uid="{00000000-0005-0000-0000-0000FA330000}"/>
    <cellStyle name="40% - Accent4 6 3 2 2 3" xfId="23411" xr:uid="{00000000-0005-0000-0000-0000FB330000}"/>
    <cellStyle name="40% - Accent4 6 3 2 3" xfId="10230" xr:uid="{00000000-0005-0000-0000-0000FC330000}"/>
    <cellStyle name="40% - Accent4 6 3 2 4" xfId="20828" xr:uid="{00000000-0005-0000-0000-0000FD330000}"/>
    <cellStyle name="40% - Accent4 6 3 3" xfId="10231" xr:uid="{00000000-0005-0000-0000-0000FE330000}"/>
    <cellStyle name="40% - Accent4 6 3 3 2" xfId="10232" xr:uid="{00000000-0005-0000-0000-0000FF330000}"/>
    <cellStyle name="40% - Accent4 6 3 3 3" xfId="22121" xr:uid="{00000000-0005-0000-0000-000000340000}"/>
    <cellStyle name="40% - Accent4 6 3 4" xfId="10233" xr:uid="{00000000-0005-0000-0000-000001340000}"/>
    <cellStyle name="40% - Accent4 6 3 5" xfId="19534" xr:uid="{00000000-0005-0000-0000-000002340000}"/>
    <cellStyle name="40% - Accent4 6 4" xfId="10234" xr:uid="{00000000-0005-0000-0000-000003340000}"/>
    <cellStyle name="40% - Accent4 6 4 2" xfId="10235" xr:uid="{00000000-0005-0000-0000-000004340000}"/>
    <cellStyle name="40% - Accent4 6 4 2 2" xfId="10236" xr:uid="{00000000-0005-0000-0000-000005340000}"/>
    <cellStyle name="40% - Accent4 6 4 2 3" xfId="22766" xr:uid="{00000000-0005-0000-0000-000006340000}"/>
    <cellStyle name="40% - Accent4 6 4 3" xfId="10237" xr:uid="{00000000-0005-0000-0000-000007340000}"/>
    <cellStyle name="40% - Accent4 6 4 4" xfId="20183" xr:uid="{00000000-0005-0000-0000-000008340000}"/>
    <cellStyle name="40% - Accent4 6 5" xfId="10238" xr:uid="{00000000-0005-0000-0000-000009340000}"/>
    <cellStyle name="40% - Accent4 6 5 2" xfId="10239" xr:uid="{00000000-0005-0000-0000-00000A340000}"/>
    <cellStyle name="40% - Accent4 6 5 3" xfId="21476" xr:uid="{00000000-0005-0000-0000-00000B340000}"/>
    <cellStyle name="40% - Accent4 6 6" xfId="10240" xr:uid="{00000000-0005-0000-0000-00000C340000}"/>
    <cellStyle name="40% - Accent4 6 7" xfId="18878" xr:uid="{00000000-0005-0000-0000-00000D340000}"/>
    <cellStyle name="40% - Accent4 7" xfId="10241" xr:uid="{00000000-0005-0000-0000-00000E340000}"/>
    <cellStyle name="40% - Accent4 7 2" xfId="10242" xr:uid="{00000000-0005-0000-0000-00000F340000}"/>
    <cellStyle name="40% - Accent4 7 2 2" xfId="10243" xr:uid="{00000000-0005-0000-0000-000010340000}"/>
    <cellStyle name="40% - Accent4 7 2 2 2" xfId="10244" xr:uid="{00000000-0005-0000-0000-000011340000}"/>
    <cellStyle name="40% - Accent4 7 2 2 2 2" xfId="10245" xr:uid="{00000000-0005-0000-0000-000012340000}"/>
    <cellStyle name="40% - Accent4 7 2 2 2 3" xfId="23572" xr:uid="{00000000-0005-0000-0000-000013340000}"/>
    <cellStyle name="40% - Accent4 7 2 2 3" xfId="10246" xr:uid="{00000000-0005-0000-0000-000014340000}"/>
    <cellStyle name="40% - Accent4 7 2 2 4" xfId="20989" xr:uid="{00000000-0005-0000-0000-000015340000}"/>
    <cellStyle name="40% - Accent4 7 2 3" xfId="10247" xr:uid="{00000000-0005-0000-0000-000016340000}"/>
    <cellStyle name="40% - Accent4 7 2 3 2" xfId="10248" xr:uid="{00000000-0005-0000-0000-000017340000}"/>
    <cellStyle name="40% - Accent4 7 2 3 3" xfId="22282" xr:uid="{00000000-0005-0000-0000-000018340000}"/>
    <cellStyle name="40% - Accent4 7 2 4" xfId="10249" xr:uid="{00000000-0005-0000-0000-000019340000}"/>
    <cellStyle name="40% - Accent4 7 2 5" xfId="19695" xr:uid="{00000000-0005-0000-0000-00001A340000}"/>
    <cellStyle name="40% - Accent4 7 3" xfId="10250" xr:uid="{00000000-0005-0000-0000-00001B340000}"/>
    <cellStyle name="40% - Accent4 7 3 2" xfId="10251" xr:uid="{00000000-0005-0000-0000-00001C340000}"/>
    <cellStyle name="40% - Accent4 7 3 2 2" xfId="10252" xr:uid="{00000000-0005-0000-0000-00001D340000}"/>
    <cellStyle name="40% - Accent4 7 3 2 3" xfId="22927" xr:uid="{00000000-0005-0000-0000-00001E340000}"/>
    <cellStyle name="40% - Accent4 7 3 3" xfId="10253" xr:uid="{00000000-0005-0000-0000-00001F340000}"/>
    <cellStyle name="40% - Accent4 7 3 4" xfId="20344" xr:uid="{00000000-0005-0000-0000-000020340000}"/>
    <cellStyle name="40% - Accent4 7 4" xfId="10254" xr:uid="{00000000-0005-0000-0000-000021340000}"/>
    <cellStyle name="40% - Accent4 7 4 2" xfId="10255" xr:uid="{00000000-0005-0000-0000-000022340000}"/>
    <cellStyle name="40% - Accent4 7 4 3" xfId="21637" xr:uid="{00000000-0005-0000-0000-000023340000}"/>
    <cellStyle name="40% - Accent4 7 5" xfId="10256" xr:uid="{00000000-0005-0000-0000-000024340000}"/>
    <cellStyle name="40% - Accent4 7 6" xfId="19043" xr:uid="{00000000-0005-0000-0000-000025340000}"/>
    <cellStyle name="40% - Accent4 8" xfId="10257" xr:uid="{00000000-0005-0000-0000-000026340000}"/>
    <cellStyle name="40% - Accent4 8 2" xfId="10258" xr:uid="{00000000-0005-0000-0000-000027340000}"/>
    <cellStyle name="40% - Accent4 8 2 2" xfId="10259" xr:uid="{00000000-0005-0000-0000-000028340000}"/>
    <cellStyle name="40% - Accent4 8 2 2 2" xfId="10260" xr:uid="{00000000-0005-0000-0000-000029340000}"/>
    <cellStyle name="40% - Accent4 8 2 2 3" xfId="23249" xr:uid="{00000000-0005-0000-0000-00002A340000}"/>
    <cellStyle name="40% - Accent4 8 2 3" xfId="10261" xr:uid="{00000000-0005-0000-0000-00002B340000}"/>
    <cellStyle name="40% - Accent4 8 2 4" xfId="20666" xr:uid="{00000000-0005-0000-0000-00002C340000}"/>
    <cellStyle name="40% - Accent4 8 3" xfId="10262" xr:uid="{00000000-0005-0000-0000-00002D340000}"/>
    <cellStyle name="40% - Accent4 8 3 2" xfId="10263" xr:uid="{00000000-0005-0000-0000-00002E340000}"/>
    <cellStyle name="40% - Accent4 8 3 3" xfId="21959" xr:uid="{00000000-0005-0000-0000-00002F340000}"/>
    <cellStyle name="40% - Accent4 8 4" xfId="10264" xr:uid="{00000000-0005-0000-0000-000030340000}"/>
    <cellStyle name="40% - Accent4 8 5" xfId="19369" xr:uid="{00000000-0005-0000-0000-000031340000}"/>
    <cellStyle name="40% - Accent4 9" xfId="10265" xr:uid="{00000000-0005-0000-0000-000032340000}"/>
    <cellStyle name="40% - Accent4 9 2" xfId="10266" xr:uid="{00000000-0005-0000-0000-000033340000}"/>
    <cellStyle name="40% - Accent4 9 2 2" xfId="10267" xr:uid="{00000000-0005-0000-0000-000034340000}"/>
    <cellStyle name="40% - Accent4 9 2 3" xfId="22604" xr:uid="{00000000-0005-0000-0000-000035340000}"/>
    <cellStyle name="40% - Accent4 9 3" xfId="10268" xr:uid="{00000000-0005-0000-0000-000036340000}"/>
    <cellStyle name="40% - Accent4 9 4" xfId="20017" xr:uid="{00000000-0005-0000-0000-000037340000}"/>
    <cellStyle name="40% - Accent5 10" xfId="10269" xr:uid="{00000000-0005-0000-0000-000038340000}"/>
    <cellStyle name="40% - Accent5 10 2" xfId="10270" xr:uid="{00000000-0005-0000-0000-000039340000}"/>
    <cellStyle name="40% - Accent5 10 3" xfId="21312" xr:uid="{00000000-0005-0000-0000-00003A340000}"/>
    <cellStyle name="40% - Accent5 11" xfId="10271" xr:uid="{00000000-0005-0000-0000-00003B340000}"/>
    <cellStyle name="40% - Accent5 12" xfId="10272" xr:uid="{00000000-0005-0000-0000-00003C340000}"/>
    <cellStyle name="40% - Accent5 13" xfId="10273" xr:uid="{00000000-0005-0000-0000-00003D340000}"/>
    <cellStyle name="40% - Accent5 14" xfId="10274" xr:uid="{00000000-0005-0000-0000-00003E340000}"/>
    <cellStyle name="40% - Accent5 15" xfId="18625" xr:uid="{00000000-0005-0000-0000-00003F340000}"/>
    <cellStyle name="40% - Accent5 2" xfId="10275" xr:uid="{00000000-0005-0000-0000-000040340000}"/>
    <cellStyle name="40% - Accent5 2 10" xfId="10276" xr:uid="{00000000-0005-0000-0000-000041340000}"/>
    <cellStyle name="40% - Accent5 2 11" xfId="18640" xr:uid="{00000000-0005-0000-0000-000042340000}"/>
    <cellStyle name="40% - Accent5 2 2" xfId="10277" xr:uid="{00000000-0005-0000-0000-000043340000}"/>
    <cellStyle name="40% - Accent5 2 2 10" xfId="18728" xr:uid="{00000000-0005-0000-0000-000044340000}"/>
    <cellStyle name="40% - Accent5 2 2 2" xfId="10278" xr:uid="{00000000-0005-0000-0000-000045340000}"/>
    <cellStyle name="40% - Accent5 2 2 2 2" xfId="10279" xr:uid="{00000000-0005-0000-0000-000046340000}"/>
    <cellStyle name="40% - Accent5 2 2 2 2 2" xfId="10280" xr:uid="{00000000-0005-0000-0000-000047340000}"/>
    <cellStyle name="40% - Accent5 2 2 2 2 2 2" xfId="10281" xr:uid="{00000000-0005-0000-0000-000048340000}"/>
    <cellStyle name="40% - Accent5 2 2 2 2 2 2 2" xfId="10282" xr:uid="{00000000-0005-0000-0000-000049340000}"/>
    <cellStyle name="40% - Accent5 2 2 2 2 2 2 2 2" xfId="10283" xr:uid="{00000000-0005-0000-0000-00004A340000}"/>
    <cellStyle name="40% - Accent5 2 2 2 2 2 2 2 2 2" xfId="10284" xr:uid="{00000000-0005-0000-0000-00004B340000}"/>
    <cellStyle name="40% - Accent5 2 2 2 2 2 2 2 2 2 2" xfId="10285" xr:uid="{00000000-0005-0000-0000-00004C340000}"/>
    <cellStyle name="40% - Accent5 2 2 2 2 2 2 2 2 2 3" xfId="23885" xr:uid="{00000000-0005-0000-0000-00004D340000}"/>
    <cellStyle name="40% - Accent5 2 2 2 2 2 2 2 2 3" xfId="10286" xr:uid="{00000000-0005-0000-0000-00004E340000}"/>
    <cellStyle name="40% - Accent5 2 2 2 2 2 2 2 2 4" xfId="21302" xr:uid="{00000000-0005-0000-0000-00004F340000}"/>
    <cellStyle name="40% - Accent5 2 2 2 2 2 2 2 3" xfId="10287" xr:uid="{00000000-0005-0000-0000-000050340000}"/>
    <cellStyle name="40% - Accent5 2 2 2 2 2 2 2 3 2" xfId="10288" xr:uid="{00000000-0005-0000-0000-000051340000}"/>
    <cellStyle name="40% - Accent5 2 2 2 2 2 2 2 3 3" xfId="22595" xr:uid="{00000000-0005-0000-0000-000052340000}"/>
    <cellStyle name="40% - Accent5 2 2 2 2 2 2 2 4" xfId="10289" xr:uid="{00000000-0005-0000-0000-000053340000}"/>
    <cellStyle name="40% - Accent5 2 2 2 2 2 2 2 5" xfId="20008" xr:uid="{00000000-0005-0000-0000-000054340000}"/>
    <cellStyle name="40% - Accent5 2 2 2 2 2 2 3" xfId="10290" xr:uid="{00000000-0005-0000-0000-000055340000}"/>
    <cellStyle name="40% - Accent5 2 2 2 2 2 2 3 2" xfId="10291" xr:uid="{00000000-0005-0000-0000-000056340000}"/>
    <cellStyle name="40% - Accent5 2 2 2 2 2 2 3 2 2" xfId="10292" xr:uid="{00000000-0005-0000-0000-000057340000}"/>
    <cellStyle name="40% - Accent5 2 2 2 2 2 2 3 2 3" xfId="23240" xr:uid="{00000000-0005-0000-0000-000058340000}"/>
    <cellStyle name="40% - Accent5 2 2 2 2 2 2 3 3" xfId="10293" xr:uid="{00000000-0005-0000-0000-000059340000}"/>
    <cellStyle name="40% - Accent5 2 2 2 2 2 2 3 4" xfId="20657" xr:uid="{00000000-0005-0000-0000-00005A340000}"/>
    <cellStyle name="40% - Accent5 2 2 2 2 2 2 4" xfId="10294" xr:uid="{00000000-0005-0000-0000-00005B340000}"/>
    <cellStyle name="40% - Accent5 2 2 2 2 2 2 4 2" xfId="10295" xr:uid="{00000000-0005-0000-0000-00005C340000}"/>
    <cellStyle name="40% - Accent5 2 2 2 2 2 2 4 3" xfId="21950" xr:uid="{00000000-0005-0000-0000-00005D340000}"/>
    <cellStyle name="40% - Accent5 2 2 2 2 2 2 5" xfId="10296" xr:uid="{00000000-0005-0000-0000-00005E340000}"/>
    <cellStyle name="40% - Accent5 2 2 2 2 2 2 6" xfId="19360" xr:uid="{00000000-0005-0000-0000-00005F340000}"/>
    <cellStyle name="40% - Accent5 2 2 2 2 2 3" xfId="10297" xr:uid="{00000000-0005-0000-0000-000060340000}"/>
    <cellStyle name="40% - Accent5 2 2 2 2 2 3 2" xfId="10298" xr:uid="{00000000-0005-0000-0000-000061340000}"/>
    <cellStyle name="40% - Accent5 2 2 2 2 2 3 2 2" xfId="10299" xr:uid="{00000000-0005-0000-0000-000062340000}"/>
    <cellStyle name="40% - Accent5 2 2 2 2 2 3 2 2 2" xfId="10300" xr:uid="{00000000-0005-0000-0000-000063340000}"/>
    <cellStyle name="40% - Accent5 2 2 2 2 2 3 2 2 3" xfId="23563" xr:uid="{00000000-0005-0000-0000-000064340000}"/>
    <cellStyle name="40% - Accent5 2 2 2 2 2 3 2 3" xfId="10301" xr:uid="{00000000-0005-0000-0000-000065340000}"/>
    <cellStyle name="40% - Accent5 2 2 2 2 2 3 2 4" xfId="20980" xr:uid="{00000000-0005-0000-0000-000066340000}"/>
    <cellStyle name="40% - Accent5 2 2 2 2 2 3 3" xfId="10302" xr:uid="{00000000-0005-0000-0000-000067340000}"/>
    <cellStyle name="40% - Accent5 2 2 2 2 2 3 3 2" xfId="10303" xr:uid="{00000000-0005-0000-0000-000068340000}"/>
    <cellStyle name="40% - Accent5 2 2 2 2 2 3 3 3" xfId="22273" xr:uid="{00000000-0005-0000-0000-000069340000}"/>
    <cellStyle name="40% - Accent5 2 2 2 2 2 3 4" xfId="10304" xr:uid="{00000000-0005-0000-0000-00006A340000}"/>
    <cellStyle name="40% - Accent5 2 2 2 2 2 3 5" xfId="19686" xr:uid="{00000000-0005-0000-0000-00006B340000}"/>
    <cellStyle name="40% - Accent5 2 2 2 2 2 4" xfId="10305" xr:uid="{00000000-0005-0000-0000-00006C340000}"/>
    <cellStyle name="40% - Accent5 2 2 2 2 2 4 2" xfId="10306" xr:uid="{00000000-0005-0000-0000-00006D340000}"/>
    <cellStyle name="40% - Accent5 2 2 2 2 2 4 2 2" xfId="10307" xr:uid="{00000000-0005-0000-0000-00006E340000}"/>
    <cellStyle name="40% - Accent5 2 2 2 2 2 4 2 3" xfId="22918" xr:uid="{00000000-0005-0000-0000-00006F340000}"/>
    <cellStyle name="40% - Accent5 2 2 2 2 2 4 3" xfId="10308" xr:uid="{00000000-0005-0000-0000-000070340000}"/>
    <cellStyle name="40% - Accent5 2 2 2 2 2 4 4" xfId="20335" xr:uid="{00000000-0005-0000-0000-000071340000}"/>
    <cellStyle name="40% - Accent5 2 2 2 2 2 5" xfId="10309" xr:uid="{00000000-0005-0000-0000-000072340000}"/>
    <cellStyle name="40% - Accent5 2 2 2 2 2 5 2" xfId="10310" xr:uid="{00000000-0005-0000-0000-000073340000}"/>
    <cellStyle name="40% - Accent5 2 2 2 2 2 5 3" xfId="21628" xr:uid="{00000000-0005-0000-0000-000074340000}"/>
    <cellStyle name="40% - Accent5 2 2 2 2 2 6" xfId="10311" xr:uid="{00000000-0005-0000-0000-000075340000}"/>
    <cellStyle name="40% - Accent5 2 2 2 2 2 7" xfId="19034" xr:uid="{00000000-0005-0000-0000-000076340000}"/>
    <cellStyle name="40% - Accent5 2 2 2 2 3" xfId="10312" xr:uid="{00000000-0005-0000-0000-000077340000}"/>
    <cellStyle name="40% - Accent5 2 2 2 2 3 2" xfId="10313" xr:uid="{00000000-0005-0000-0000-000078340000}"/>
    <cellStyle name="40% - Accent5 2 2 2 2 3 2 2" xfId="10314" xr:uid="{00000000-0005-0000-0000-000079340000}"/>
    <cellStyle name="40% - Accent5 2 2 2 2 3 2 2 2" xfId="10315" xr:uid="{00000000-0005-0000-0000-00007A340000}"/>
    <cellStyle name="40% - Accent5 2 2 2 2 3 2 2 2 2" xfId="10316" xr:uid="{00000000-0005-0000-0000-00007B340000}"/>
    <cellStyle name="40% - Accent5 2 2 2 2 3 2 2 2 3" xfId="23724" xr:uid="{00000000-0005-0000-0000-00007C340000}"/>
    <cellStyle name="40% - Accent5 2 2 2 2 3 2 2 3" xfId="10317" xr:uid="{00000000-0005-0000-0000-00007D340000}"/>
    <cellStyle name="40% - Accent5 2 2 2 2 3 2 2 4" xfId="21141" xr:uid="{00000000-0005-0000-0000-00007E340000}"/>
    <cellStyle name="40% - Accent5 2 2 2 2 3 2 3" xfId="10318" xr:uid="{00000000-0005-0000-0000-00007F340000}"/>
    <cellStyle name="40% - Accent5 2 2 2 2 3 2 3 2" xfId="10319" xr:uid="{00000000-0005-0000-0000-000080340000}"/>
    <cellStyle name="40% - Accent5 2 2 2 2 3 2 3 3" xfId="22434" xr:uid="{00000000-0005-0000-0000-000081340000}"/>
    <cellStyle name="40% - Accent5 2 2 2 2 3 2 4" xfId="10320" xr:uid="{00000000-0005-0000-0000-000082340000}"/>
    <cellStyle name="40% - Accent5 2 2 2 2 3 2 5" xfId="19847" xr:uid="{00000000-0005-0000-0000-000083340000}"/>
    <cellStyle name="40% - Accent5 2 2 2 2 3 3" xfId="10321" xr:uid="{00000000-0005-0000-0000-000084340000}"/>
    <cellStyle name="40% - Accent5 2 2 2 2 3 3 2" xfId="10322" xr:uid="{00000000-0005-0000-0000-000085340000}"/>
    <cellStyle name="40% - Accent5 2 2 2 2 3 3 2 2" xfId="10323" xr:uid="{00000000-0005-0000-0000-000086340000}"/>
    <cellStyle name="40% - Accent5 2 2 2 2 3 3 2 3" xfId="23079" xr:uid="{00000000-0005-0000-0000-000087340000}"/>
    <cellStyle name="40% - Accent5 2 2 2 2 3 3 3" xfId="10324" xr:uid="{00000000-0005-0000-0000-000088340000}"/>
    <cellStyle name="40% - Accent5 2 2 2 2 3 3 4" xfId="20496" xr:uid="{00000000-0005-0000-0000-000089340000}"/>
    <cellStyle name="40% - Accent5 2 2 2 2 3 4" xfId="10325" xr:uid="{00000000-0005-0000-0000-00008A340000}"/>
    <cellStyle name="40% - Accent5 2 2 2 2 3 4 2" xfId="10326" xr:uid="{00000000-0005-0000-0000-00008B340000}"/>
    <cellStyle name="40% - Accent5 2 2 2 2 3 4 3" xfId="21789" xr:uid="{00000000-0005-0000-0000-00008C340000}"/>
    <cellStyle name="40% - Accent5 2 2 2 2 3 5" xfId="10327" xr:uid="{00000000-0005-0000-0000-00008D340000}"/>
    <cellStyle name="40% - Accent5 2 2 2 2 3 6" xfId="19199" xr:uid="{00000000-0005-0000-0000-00008E340000}"/>
    <cellStyle name="40% - Accent5 2 2 2 2 4" xfId="10328" xr:uid="{00000000-0005-0000-0000-00008F340000}"/>
    <cellStyle name="40% - Accent5 2 2 2 2 4 2" xfId="10329" xr:uid="{00000000-0005-0000-0000-000090340000}"/>
    <cellStyle name="40% - Accent5 2 2 2 2 4 2 2" xfId="10330" xr:uid="{00000000-0005-0000-0000-000091340000}"/>
    <cellStyle name="40% - Accent5 2 2 2 2 4 2 2 2" xfId="10331" xr:uid="{00000000-0005-0000-0000-000092340000}"/>
    <cellStyle name="40% - Accent5 2 2 2 2 4 2 2 3" xfId="23402" xr:uid="{00000000-0005-0000-0000-000093340000}"/>
    <cellStyle name="40% - Accent5 2 2 2 2 4 2 3" xfId="10332" xr:uid="{00000000-0005-0000-0000-000094340000}"/>
    <cellStyle name="40% - Accent5 2 2 2 2 4 2 4" xfId="20819" xr:uid="{00000000-0005-0000-0000-000095340000}"/>
    <cellStyle name="40% - Accent5 2 2 2 2 4 3" xfId="10333" xr:uid="{00000000-0005-0000-0000-000096340000}"/>
    <cellStyle name="40% - Accent5 2 2 2 2 4 3 2" xfId="10334" xr:uid="{00000000-0005-0000-0000-000097340000}"/>
    <cellStyle name="40% - Accent5 2 2 2 2 4 3 3" xfId="22112" xr:uid="{00000000-0005-0000-0000-000098340000}"/>
    <cellStyle name="40% - Accent5 2 2 2 2 4 4" xfId="10335" xr:uid="{00000000-0005-0000-0000-000099340000}"/>
    <cellStyle name="40% - Accent5 2 2 2 2 4 5" xfId="19525" xr:uid="{00000000-0005-0000-0000-00009A340000}"/>
    <cellStyle name="40% - Accent5 2 2 2 2 5" xfId="10336" xr:uid="{00000000-0005-0000-0000-00009B340000}"/>
    <cellStyle name="40% - Accent5 2 2 2 2 5 2" xfId="10337" xr:uid="{00000000-0005-0000-0000-00009C340000}"/>
    <cellStyle name="40% - Accent5 2 2 2 2 5 2 2" xfId="10338" xr:uid="{00000000-0005-0000-0000-00009D340000}"/>
    <cellStyle name="40% - Accent5 2 2 2 2 5 2 3" xfId="22757" xr:uid="{00000000-0005-0000-0000-00009E340000}"/>
    <cellStyle name="40% - Accent5 2 2 2 2 5 3" xfId="10339" xr:uid="{00000000-0005-0000-0000-00009F340000}"/>
    <cellStyle name="40% - Accent5 2 2 2 2 5 4" xfId="20174" xr:uid="{00000000-0005-0000-0000-0000A0340000}"/>
    <cellStyle name="40% - Accent5 2 2 2 2 6" xfId="10340" xr:uid="{00000000-0005-0000-0000-0000A1340000}"/>
    <cellStyle name="40% - Accent5 2 2 2 2 6 2" xfId="10341" xr:uid="{00000000-0005-0000-0000-0000A2340000}"/>
    <cellStyle name="40% - Accent5 2 2 2 2 6 3" xfId="21467" xr:uid="{00000000-0005-0000-0000-0000A3340000}"/>
    <cellStyle name="40% - Accent5 2 2 2 2 7" xfId="10342" xr:uid="{00000000-0005-0000-0000-0000A4340000}"/>
    <cellStyle name="40% - Accent5 2 2 2 2 8" xfId="18869" xr:uid="{00000000-0005-0000-0000-0000A5340000}"/>
    <cellStyle name="40% - Accent5 2 2 2 3" xfId="10343" xr:uid="{00000000-0005-0000-0000-0000A6340000}"/>
    <cellStyle name="40% - Accent5 2 2 2 3 2" xfId="10344" xr:uid="{00000000-0005-0000-0000-0000A7340000}"/>
    <cellStyle name="40% - Accent5 2 2 2 3 2 2" xfId="10345" xr:uid="{00000000-0005-0000-0000-0000A8340000}"/>
    <cellStyle name="40% - Accent5 2 2 2 3 2 2 2" xfId="10346" xr:uid="{00000000-0005-0000-0000-0000A9340000}"/>
    <cellStyle name="40% - Accent5 2 2 2 3 2 2 2 2" xfId="10347" xr:uid="{00000000-0005-0000-0000-0000AA340000}"/>
    <cellStyle name="40% - Accent5 2 2 2 3 2 2 2 2 2" xfId="10348" xr:uid="{00000000-0005-0000-0000-0000AB340000}"/>
    <cellStyle name="40% - Accent5 2 2 2 3 2 2 2 2 3" xfId="23805" xr:uid="{00000000-0005-0000-0000-0000AC340000}"/>
    <cellStyle name="40% - Accent5 2 2 2 3 2 2 2 3" xfId="10349" xr:uid="{00000000-0005-0000-0000-0000AD340000}"/>
    <cellStyle name="40% - Accent5 2 2 2 3 2 2 2 4" xfId="21222" xr:uid="{00000000-0005-0000-0000-0000AE340000}"/>
    <cellStyle name="40% - Accent5 2 2 2 3 2 2 3" xfId="10350" xr:uid="{00000000-0005-0000-0000-0000AF340000}"/>
    <cellStyle name="40% - Accent5 2 2 2 3 2 2 3 2" xfId="10351" xr:uid="{00000000-0005-0000-0000-0000B0340000}"/>
    <cellStyle name="40% - Accent5 2 2 2 3 2 2 3 3" xfId="22515" xr:uid="{00000000-0005-0000-0000-0000B1340000}"/>
    <cellStyle name="40% - Accent5 2 2 2 3 2 2 4" xfId="10352" xr:uid="{00000000-0005-0000-0000-0000B2340000}"/>
    <cellStyle name="40% - Accent5 2 2 2 3 2 2 5" xfId="19928" xr:uid="{00000000-0005-0000-0000-0000B3340000}"/>
    <cellStyle name="40% - Accent5 2 2 2 3 2 3" xfId="10353" xr:uid="{00000000-0005-0000-0000-0000B4340000}"/>
    <cellStyle name="40% - Accent5 2 2 2 3 2 3 2" xfId="10354" xr:uid="{00000000-0005-0000-0000-0000B5340000}"/>
    <cellStyle name="40% - Accent5 2 2 2 3 2 3 2 2" xfId="10355" xr:uid="{00000000-0005-0000-0000-0000B6340000}"/>
    <cellStyle name="40% - Accent5 2 2 2 3 2 3 2 3" xfId="23160" xr:uid="{00000000-0005-0000-0000-0000B7340000}"/>
    <cellStyle name="40% - Accent5 2 2 2 3 2 3 3" xfId="10356" xr:uid="{00000000-0005-0000-0000-0000B8340000}"/>
    <cellStyle name="40% - Accent5 2 2 2 3 2 3 4" xfId="20577" xr:uid="{00000000-0005-0000-0000-0000B9340000}"/>
    <cellStyle name="40% - Accent5 2 2 2 3 2 4" xfId="10357" xr:uid="{00000000-0005-0000-0000-0000BA340000}"/>
    <cellStyle name="40% - Accent5 2 2 2 3 2 4 2" xfId="10358" xr:uid="{00000000-0005-0000-0000-0000BB340000}"/>
    <cellStyle name="40% - Accent5 2 2 2 3 2 4 3" xfId="21870" xr:uid="{00000000-0005-0000-0000-0000BC340000}"/>
    <cellStyle name="40% - Accent5 2 2 2 3 2 5" xfId="10359" xr:uid="{00000000-0005-0000-0000-0000BD340000}"/>
    <cellStyle name="40% - Accent5 2 2 2 3 2 6" xfId="19280" xr:uid="{00000000-0005-0000-0000-0000BE340000}"/>
    <cellStyle name="40% - Accent5 2 2 2 3 3" xfId="10360" xr:uid="{00000000-0005-0000-0000-0000BF340000}"/>
    <cellStyle name="40% - Accent5 2 2 2 3 3 2" xfId="10361" xr:uid="{00000000-0005-0000-0000-0000C0340000}"/>
    <cellStyle name="40% - Accent5 2 2 2 3 3 2 2" xfId="10362" xr:uid="{00000000-0005-0000-0000-0000C1340000}"/>
    <cellStyle name="40% - Accent5 2 2 2 3 3 2 2 2" xfId="10363" xr:uid="{00000000-0005-0000-0000-0000C2340000}"/>
    <cellStyle name="40% - Accent5 2 2 2 3 3 2 2 3" xfId="23483" xr:uid="{00000000-0005-0000-0000-0000C3340000}"/>
    <cellStyle name="40% - Accent5 2 2 2 3 3 2 3" xfId="10364" xr:uid="{00000000-0005-0000-0000-0000C4340000}"/>
    <cellStyle name="40% - Accent5 2 2 2 3 3 2 4" xfId="20900" xr:uid="{00000000-0005-0000-0000-0000C5340000}"/>
    <cellStyle name="40% - Accent5 2 2 2 3 3 3" xfId="10365" xr:uid="{00000000-0005-0000-0000-0000C6340000}"/>
    <cellStyle name="40% - Accent5 2 2 2 3 3 3 2" xfId="10366" xr:uid="{00000000-0005-0000-0000-0000C7340000}"/>
    <cellStyle name="40% - Accent5 2 2 2 3 3 3 3" xfId="22193" xr:uid="{00000000-0005-0000-0000-0000C8340000}"/>
    <cellStyle name="40% - Accent5 2 2 2 3 3 4" xfId="10367" xr:uid="{00000000-0005-0000-0000-0000C9340000}"/>
    <cellStyle name="40% - Accent5 2 2 2 3 3 5" xfId="19606" xr:uid="{00000000-0005-0000-0000-0000CA340000}"/>
    <cellStyle name="40% - Accent5 2 2 2 3 4" xfId="10368" xr:uid="{00000000-0005-0000-0000-0000CB340000}"/>
    <cellStyle name="40% - Accent5 2 2 2 3 4 2" xfId="10369" xr:uid="{00000000-0005-0000-0000-0000CC340000}"/>
    <cellStyle name="40% - Accent5 2 2 2 3 4 2 2" xfId="10370" xr:uid="{00000000-0005-0000-0000-0000CD340000}"/>
    <cellStyle name="40% - Accent5 2 2 2 3 4 2 3" xfId="22838" xr:uid="{00000000-0005-0000-0000-0000CE340000}"/>
    <cellStyle name="40% - Accent5 2 2 2 3 4 3" xfId="10371" xr:uid="{00000000-0005-0000-0000-0000CF340000}"/>
    <cellStyle name="40% - Accent5 2 2 2 3 4 4" xfId="20255" xr:uid="{00000000-0005-0000-0000-0000D0340000}"/>
    <cellStyle name="40% - Accent5 2 2 2 3 5" xfId="10372" xr:uid="{00000000-0005-0000-0000-0000D1340000}"/>
    <cellStyle name="40% - Accent5 2 2 2 3 5 2" xfId="10373" xr:uid="{00000000-0005-0000-0000-0000D2340000}"/>
    <cellStyle name="40% - Accent5 2 2 2 3 5 3" xfId="21548" xr:uid="{00000000-0005-0000-0000-0000D3340000}"/>
    <cellStyle name="40% - Accent5 2 2 2 3 6" xfId="10374" xr:uid="{00000000-0005-0000-0000-0000D4340000}"/>
    <cellStyle name="40% - Accent5 2 2 2 3 7" xfId="18954" xr:uid="{00000000-0005-0000-0000-0000D5340000}"/>
    <cellStyle name="40% - Accent5 2 2 2 4" xfId="10375" xr:uid="{00000000-0005-0000-0000-0000D6340000}"/>
    <cellStyle name="40% - Accent5 2 2 2 4 2" xfId="10376" xr:uid="{00000000-0005-0000-0000-0000D7340000}"/>
    <cellStyle name="40% - Accent5 2 2 2 4 2 2" xfId="10377" xr:uid="{00000000-0005-0000-0000-0000D8340000}"/>
    <cellStyle name="40% - Accent5 2 2 2 4 2 2 2" xfId="10378" xr:uid="{00000000-0005-0000-0000-0000D9340000}"/>
    <cellStyle name="40% - Accent5 2 2 2 4 2 2 2 2" xfId="10379" xr:uid="{00000000-0005-0000-0000-0000DA340000}"/>
    <cellStyle name="40% - Accent5 2 2 2 4 2 2 2 3" xfId="23644" xr:uid="{00000000-0005-0000-0000-0000DB340000}"/>
    <cellStyle name="40% - Accent5 2 2 2 4 2 2 3" xfId="10380" xr:uid="{00000000-0005-0000-0000-0000DC340000}"/>
    <cellStyle name="40% - Accent5 2 2 2 4 2 2 4" xfId="21061" xr:uid="{00000000-0005-0000-0000-0000DD340000}"/>
    <cellStyle name="40% - Accent5 2 2 2 4 2 3" xfId="10381" xr:uid="{00000000-0005-0000-0000-0000DE340000}"/>
    <cellStyle name="40% - Accent5 2 2 2 4 2 3 2" xfId="10382" xr:uid="{00000000-0005-0000-0000-0000DF340000}"/>
    <cellStyle name="40% - Accent5 2 2 2 4 2 3 3" xfId="22354" xr:uid="{00000000-0005-0000-0000-0000E0340000}"/>
    <cellStyle name="40% - Accent5 2 2 2 4 2 4" xfId="10383" xr:uid="{00000000-0005-0000-0000-0000E1340000}"/>
    <cellStyle name="40% - Accent5 2 2 2 4 2 5" xfId="19767" xr:uid="{00000000-0005-0000-0000-0000E2340000}"/>
    <cellStyle name="40% - Accent5 2 2 2 4 3" xfId="10384" xr:uid="{00000000-0005-0000-0000-0000E3340000}"/>
    <cellStyle name="40% - Accent5 2 2 2 4 3 2" xfId="10385" xr:uid="{00000000-0005-0000-0000-0000E4340000}"/>
    <cellStyle name="40% - Accent5 2 2 2 4 3 2 2" xfId="10386" xr:uid="{00000000-0005-0000-0000-0000E5340000}"/>
    <cellStyle name="40% - Accent5 2 2 2 4 3 2 3" xfId="22999" xr:uid="{00000000-0005-0000-0000-0000E6340000}"/>
    <cellStyle name="40% - Accent5 2 2 2 4 3 3" xfId="10387" xr:uid="{00000000-0005-0000-0000-0000E7340000}"/>
    <cellStyle name="40% - Accent5 2 2 2 4 3 4" xfId="20416" xr:uid="{00000000-0005-0000-0000-0000E8340000}"/>
    <cellStyle name="40% - Accent5 2 2 2 4 4" xfId="10388" xr:uid="{00000000-0005-0000-0000-0000E9340000}"/>
    <cellStyle name="40% - Accent5 2 2 2 4 4 2" xfId="10389" xr:uid="{00000000-0005-0000-0000-0000EA340000}"/>
    <cellStyle name="40% - Accent5 2 2 2 4 4 3" xfId="21709" xr:uid="{00000000-0005-0000-0000-0000EB340000}"/>
    <cellStyle name="40% - Accent5 2 2 2 4 5" xfId="10390" xr:uid="{00000000-0005-0000-0000-0000EC340000}"/>
    <cellStyle name="40% - Accent5 2 2 2 4 6" xfId="19119" xr:uid="{00000000-0005-0000-0000-0000ED340000}"/>
    <cellStyle name="40% - Accent5 2 2 2 5" xfId="10391" xr:uid="{00000000-0005-0000-0000-0000EE340000}"/>
    <cellStyle name="40% - Accent5 2 2 2 5 2" xfId="10392" xr:uid="{00000000-0005-0000-0000-0000EF340000}"/>
    <cellStyle name="40% - Accent5 2 2 2 5 2 2" xfId="10393" xr:uid="{00000000-0005-0000-0000-0000F0340000}"/>
    <cellStyle name="40% - Accent5 2 2 2 5 2 2 2" xfId="10394" xr:uid="{00000000-0005-0000-0000-0000F1340000}"/>
    <cellStyle name="40% - Accent5 2 2 2 5 2 2 3" xfId="23321" xr:uid="{00000000-0005-0000-0000-0000F2340000}"/>
    <cellStyle name="40% - Accent5 2 2 2 5 2 3" xfId="10395" xr:uid="{00000000-0005-0000-0000-0000F3340000}"/>
    <cellStyle name="40% - Accent5 2 2 2 5 2 4" xfId="20738" xr:uid="{00000000-0005-0000-0000-0000F4340000}"/>
    <cellStyle name="40% - Accent5 2 2 2 5 3" xfId="10396" xr:uid="{00000000-0005-0000-0000-0000F5340000}"/>
    <cellStyle name="40% - Accent5 2 2 2 5 3 2" xfId="10397" xr:uid="{00000000-0005-0000-0000-0000F6340000}"/>
    <cellStyle name="40% - Accent5 2 2 2 5 3 3" xfId="22031" xr:uid="{00000000-0005-0000-0000-0000F7340000}"/>
    <cellStyle name="40% - Accent5 2 2 2 5 4" xfId="10398" xr:uid="{00000000-0005-0000-0000-0000F8340000}"/>
    <cellStyle name="40% - Accent5 2 2 2 5 5" xfId="19445" xr:uid="{00000000-0005-0000-0000-0000F9340000}"/>
    <cellStyle name="40% - Accent5 2 2 2 6" xfId="10399" xr:uid="{00000000-0005-0000-0000-0000FA340000}"/>
    <cellStyle name="40% - Accent5 2 2 2 6 2" xfId="10400" xr:uid="{00000000-0005-0000-0000-0000FB340000}"/>
    <cellStyle name="40% - Accent5 2 2 2 6 2 2" xfId="10401" xr:uid="{00000000-0005-0000-0000-0000FC340000}"/>
    <cellStyle name="40% - Accent5 2 2 2 6 2 3" xfId="22676" xr:uid="{00000000-0005-0000-0000-0000FD340000}"/>
    <cellStyle name="40% - Accent5 2 2 2 6 3" xfId="10402" xr:uid="{00000000-0005-0000-0000-0000FE340000}"/>
    <cellStyle name="40% - Accent5 2 2 2 6 4" xfId="20093" xr:uid="{00000000-0005-0000-0000-0000FF340000}"/>
    <cellStyle name="40% - Accent5 2 2 2 7" xfId="10403" xr:uid="{00000000-0005-0000-0000-000000350000}"/>
    <cellStyle name="40% - Accent5 2 2 2 7 2" xfId="10404" xr:uid="{00000000-0005-0000-0000-000001350000}"/>
    <cellStyle name="40% - Accent5 2 2 2 7 3" xfId="21386" xr:uid="{00000000-0005-0000-0000-000002350000}"/>
    <cellStyle name="40% - Accent5 2 2 2 8" xfId="10405" xr:uid="{00000000-0005-0000-0000-000003350000}"/>
    <cellStyle name="40% - Accent5 2 2 2 9" xfId="18772" xr:uid="{00000000-0005-0000-0000-000004350000}"/>
    <cellStyle name="40% - Accent5 2 2 3" xfId="10406" xr:uid="{00000000-0005-0000-0000-000005350000}"/>
    <cellStyle name="40% - Accent5 2 2 3 2" xfId="10407" xr:uid="{00000000-0005-0000-0000-000006350000}"/>
    <cellStyle name="40% - Accent5 2 2 3 2 2" xfId="10408" xr:uid="{00000000-0005-0000-0000-000007350000}"/>
    <cellStyle name="40% - Accent5 2 2 3 2 2 2" xfId="10409" xr:uid="{00000000-0005-0000-0000-000008350000}"/>
    <cellStyle name="40% - Accent5 2 2 3 2 2 2 2" xfId="10410" xr:uid="{00000000-0005-0000-0000-000009350000}"/>
    <cellStyle name="40% - Accent5 2 2 3 2 2 2 2 2" xfId="10411" xr:uid="{00000000-0005-0000-0000-00000A350000}"/>
    <cellStyle name="40% - Accent5 2 2 3 2 2 2 2 2 2" xfId="10412" xr:uid="{00000000-0005-0000-0000-00000B350000}"/>
    <cellStyle name="40% - Accent5 2 2 3 2 2 2 2 2 3" xfId="23845" xr:uid="{00000000-0005-0000-0000-00000C350000}"/>
    <cellStyle name="40% - Accent5 2 2 3 2 2 2 2 3" xfId="10413" xr:uid="{00000000-0005-0000-0000-00000D350000}"/>
    <cellStyle name="40% - Accent5 2 2 3 2 2 2 2 4" xfId="21262" xr:uid="{00000000-0005-0000-0000-00000E350000}"/>
    <cellStyle name="40% - Accent5 2 2 3 2 2 2 3" xfId="10414" xr:uid="{00000000-0005-0000-0000-00000F350000}"/>
    <cellStyle name="40% - Accent5 2 2 3 2 2 2 3 2" xfId="10415" xr:uid="{00000000-0005-0000-0000-000010350000}"/>
    <cellStyle name="40% - Accent5 2 2 3 2 2 2 3 3" xfId="22555" xr:uid="{00000000-0005-0000-0000-000011350000}"/>
    <cellStyle name="40% - Accent5 2 2 3 2 2 2 4" xfId="10416" xr:uid="{00000000-0005-0000-0000-000012350000}"/>
    <cellStyle name="40% - Accent5 2 2 3 2 2 2 5" xfId="19968" xr:uid="{00000000-0005-0000-0000-000013350000}"/>
    <cellStyle name="40% - Accent5 2 2 3 2 2 3" xfId="10417" xr:uid="{00000000-0005-0000-0000-000014350000}"/>
    <cellStyle name="40% - Accent5 2 2 3 2 2 3 2" xfId="10418" xr:uid="{00000000-0005-0000-0000-000015350000}"/>
    <cellStyle name="40% - Accent5 2 2 3 2 2 3 2 2" xfId="10419" xr:uid="{00000000-0005-0000-0000-000016350000}"/>
    <cellStyle name="40% - Accent5 2 2 3 2 2 3 2 3" xfId="23200" xr:uid="{00000000-0005-0000-0000-000017350000}"/>
    <cellStyle name="40% - Accent5 2 2 3 2 2 3 3" xfId="10420" xr:uid="{00000000-0005-0000-0000-000018350000}"/>
    <cellStyle name="40% - Accent5 2 2 3 2 2 3 4" xfId="20617" xr:uid="{00000000-0005-0000-0000-000019350000}"/>
    <cellStyle name="40% - Accent5 2 2 3 2 2 4" xfId="10421" xr:uid="{00000000-0005-0000-0000-00001A350000}"/>
    <cellStyle name="40% - Accent5 2 2 3 2 2 4 2" xfId="10422" xr:uid="{00000000-0005-0000-0000-00001B350000}"/>
    <cellStyle name="40% - Accent5 2 2 3 2 2 4 3" xfId="21910" xr:uid="{00000000-0005-0000-0000-00001C350000}"/>
    <cellStyle name="40% - Accent5 2 2 3 2 2 5" xfId="10423" xr:uid="{00000000-0005-0000-0000-00001D350000}"/>
    <cellStyle name="40% - Accent5 2 2 3 2 2 6" xfId="19320" xr:uid="{00000000-0005-0000-0000-00001E350000}"/>
    <cellStyle name="40% - Accent5 2 2 3 2 3" xfId="10424" xr:uid="{00000000-0005-0000-0000-00001F350000}"/>
    <cellStyle name="40% - Accent5 2 2 3 2 3 2" xfId="10425" xr:uid="{00000000-0005-0000-0000-000020350000}"/>
    <cellStyle name="40% - Accent5 2 2 3 2 3 2 2" xfId="10426" xr:uid="{00000000-0005-0000-0000-000021350000}"/>
    <cellStyle name="40% - Accent5 2 2 3 2 3 2 2 2" xfId="10427" xr:uid="{00000000-0005-0000-0000-000022350000}"/>
    <cellStyle name="40% - Accent5 2 2 3 2 3 2 2 3" xfId="23523" xr:uid="{00000000-0005-0000-0000-000023350000}"/>
    <cellStyle name="40% - Accent5 2 2 3 2 3 2 3" xfId="10428" xr:uid="{00000000-0005-0000-0000-000024350000}"/>
    <cellStyle name="40% - Accent5 2 2 3 2 3 2 4" xfId="20940" xr:uid="{00000000-0005-0000-0000-000025350000}"/>
    <cellStyle name="40% - Accent5 2 2 3 2 3 3" xfId="10429" xr:uid="{00000000-0005-0000-0000-000026350000}"/>
    <cellStyle name="40% - Accent5 2 2 3 2 3 3 2" xfId="10430" xr:uid="{00000000-0005-0000-0000-000027350000}"/>
    <cellStyle name="40% - Accent5 2 2 3 2 3 3 3" xfId="22233" xr:uid="{00000000-0005-0000-0000-000028350000}"/>
    <cellStyle name="40% - Accent5 2 2 3 2 3 4" xfId="10431" xr:uid="{00000000-0005-0000-0000-000029350000}"/>
    <cellStyle name="40% - Accent5 2 2 3 2 3 5" xfId="19646" xr:uid="{00000000-0005-0000-0000-00002A350000}"/>
    <cellStyle name="40% - Accent5 2 2 3 2 4" xfId="10432" xr:uid="{00000000-0005-0000-0000-00002B350000}"/>
    <cellStyle name="40% - Accent5 2 2 3 2 4 2" xfId="10433" xr:uid="{00000000-0005-0000-0000-00002C350000}"/>
    <cellStyle name="40% - Accent5 2 2 3 2 4 2 2" xfId="10434" xr:uid="{00000000-0005-0000-0000-00002D350000}"/>
    <cellStyle name="40% - Accent5 2 2 3 2 4 2 3" xfId="22878" xr:uid="{00000000-0005-0000-0000-00002E350000}"/>
    <cellStyle name="40% - Accent5 2 2 3 2 4 3" xfId="10435" xr:uid="{00000000-0005-0000-0000-00002F350000}"/>
    <cellStyle name="40% - Accent5 2 2 3 2 4 4" xfId="20295" xr:uid="{00000000-0005-0000-0000-000030350000}"/>
    <cellStyle name="40% - Accent5 2 2 3 2 5" xfId="10436" xr:uid="{00000000-0005-0000-0000-000031350000}"/>
    <cellStyle name="40% - Accent5 2 2 3 2 5 2" xfId="10437" xr:uid="{00000000-0005-0000-0000-000032350000}"/>
    <cellStyle name="40% - Accent5 2 2 3 2 5 3" xfId="21588" xr:uid="{00000000-0005-0000-0000-000033350000}"/>
    <cellStyle name="40% - Accent5 2 2 3 2 6" xfId="10438" xr:uid="{00000000-0005-0000-0000-000034350000}"/>
    <cellStyle name="40% - Accent5 2 2 3 2 7" xfId="18994" xr:uid="{00000000-0005-0000-0000-000035350000}"/>
    <cellStyle name="40% - Accent5 2 2 3 3" xfId="10439" xr:uid="{00000000-0005-0000-0000-000036350000}"/>
    <cellStyle name="40% - Accent5 2 2 3 3 2" xfId="10440" xr:uid="{00000000-0005-0000-0000-000037350000}"/>
    <cellStyle name="40% - Accent5 2 2 3 3 2 2" xfId="10441" xr:uid="{00000000-0005-0000-0000-000038350000}"/>
    <cellStyle name="40% - Accent5 2 2 3 3 2 2 2" xfId="10442" xr:uid="{00000000-0005-0000-0000-000039350000}"/>
    <cellStyle name="40% - Accent5 2 2 3 3 2 2 2 2" xfId="10443" xr:uid="{00000000-0005-0000-0000-00003A350000}"/>
    <cellStyle name="40% - Accent5 2 2 3 3 2 2 2 3" xfId="23684" xr:uid="{00000000-0005-0000-0000-00003B350000}"/>
    <cellStyle name="40% - Accent5 2 2 3 3 2 2 3" xfId="10444" xr:uid="{00000000-0005-0000-0000-00003C350000}"/>
    <cellStyle name="40% - Accent5 2 2 3 3 2 2 4" xfId="21101" xr:uid="{00000000-0005-0000-0000-00003D350000}"/>
    <cellStyle name="40% - Accent5 2 2 3 3 2 3" xfId="10445" xr:uid="{00000000-0005-0000-0000-00003E350000}"/>
    <cellStyle name="40% - Accent5 2 2 3 3 2 3 2" xfId="10446" xr:uid="{00000000-0005-0000-0000-00003F350000}"/>
    <cellStyle name="40% - Accent5 2 2 3 3 2 3 3" xfId="22394" xr:uid="{00000000-0005-0000-0000-000040350000}"/>
    <cellStyle name="40% - Accent5 2 2 3 3 2 4" xfId="10447" xr:uid="{00000000-0005-0000-0000-000041350000}"/>
    <cellStyle name="40% - Accent5 2 2 3 3 2 5" xfId="19807" xr:uid="{00000000-0005-0000-0000-000042350000}"/>
    <cellStyle name="40% - Accent5 2 2 3 3 3" xfId="10448" xr:uid="{00000000-0005-0000-0000-000043350000}"/>
    <cellStyle name="40% - Accent5 2 2 3 3 3 2" xfId="10449" xr:uid="{00000000-0005-0000-0000-000044350000}"/>
    <cellStyle name="40% - Accent5 2 2 3 3 3 2 2" xfId="10450" xr:uid="{00000000-0005-0000-0000-000045350000}"/>
    <cellStyle name="40% - Accent5 2 2 3 3 3 2 3" xfId="23039" xr:uid="{00000000-0005-0000-0000-000046350000}"/>
    <cellStyle name="40% - Accent5 2 2 3 3 3 3" xfId="10451" xr:uid="{00000000-0005-0000-0000-000047350000}"/>
    <cellStyle name="40% - Accent5 2 2 3 3 3 4" xfId="20456" xr:uid="{00000000-0005-0000-0000-000048350000}"/>
    <cellStyle name="40% - Accent5 2 2 3 3 4" xfId="10452" xr:uid="{00000000-0005-0000-0000-000049350000}"/>
    <cellStyle name="40% - Accent5 2 2 3 3 4 2" xfId="10453" xr:uid="{00000000-0005-0000-0000-00004A350000}"/>
    <cellStyle name="40% - Accent5 2 2 3 3 4 3" xfId="21749" xr:uid="{00000000-0005-0000-0000-00004B350000}"/>
    <cellStyle name="40% - Accent5 2 2 3 3 5" xfId="10454" xr:uid="{00000000-0005-0000-0000-00004C350000}"/>
    <cellStyle name="40% - Accent5 2 2 3 3 6" xfId="19159" xr:uid="{00000000-0005-0000-0000-00004D350000}"/>
    <cellStyle name="40% - Accent5 2 2 3 4" xfId="10455" xr:uid="{00000000-0005-0000-0000-00004E350000}"/>
    <cellStyle name="40% - Accent5 2 2 3 4 2" xfId="10456" xr:uid="{00000000-0005-0000-0000-00004F350000}"/>
    <cellStyle name="40% - Accent5 2 2 3 4 2 2" xfId="10457" xr:uid="{00000000-0005-0000-0000-000050350000}"/>
    <cellStyle name="40% - Accent5 2 2 3 4 2 2 2" xfId="10458" xr:uid="{00000000-0005-0000-0000-000051350000}"/>
    <cellStyle name="40% - Accent5 2 2 3 4 2 2 3" xfId="23362" xr:uid="{00000000-0005-0000-0000-000052350000}"/>
    <cellStyle name="40% - Accent5 2 2 3 4 2 3" xfId="10459" xr:uid="{00000000-0005-0000-0000-000053350000}"/>
    <cellStyle name="40% - Accent5 2 2 3 4 2 4" xfId="20779" xr:uid="{00000000-0005-0000-0000-000054350000}"/>
    <cellStyle name="40% - Accent5 2 2 3 4 3" xfId="10460" xr:uid="{00000000-0005-0000-0000-000055350000}"/>
    <cellStyle name="40% - Accent5 2 2 3 4 3 2" xfId="10461" xr:uid="{00000000-0005-0000-0000-000056350000}"/>
    <cellStyle name="40% - Accent5 2 2 3 4 3 3" xfId="22072" xr:uid="{00000000-0005-0000-0000-000057350000}"/>
    <cellStyle name="40% - Accent5 2 2 3 4 4" xfId="10462" xr:uid="{00000000-0005-0000-0000-000058350000}"/>
    <cellStyle name="40% - Accent5 2 2 3 4 5" xfId="19485" xr:uid="{00000000-0005-0000-0000-000059350000}"/>
    <cellStyle name="40% - Accent5 2 2 3 5" xfId="10463" xr:uid="{00000000-0005-0000-0000-00005A350000}"/>
    <cellStyle name="40% - Accent5 2 2 3 5 2" xfId="10464" xr:uid="{00000000-0005-0000-0000-00005B350000}"/>
    <cellStyle name="40% - Accent5 2 2 3 5 2 2" xfId="10465" xr:uid="{00000000-0005-0000-0000-00005C350000}"/>
    <cellStyle name="40% - Accent5 2 2 3 5 2 3" xfId="22717" xr:uid="{00000000-0005-0000-0000-00005D350000}"/>
    <cellStyle name="40% - Accent5 2 2 3 5 3" xfId="10466" xr:uid="{00000000-0005-0000-0000-00005E350000}"/>
    <cellStyle name="40% - Accent5 2 2 3 5 4" xfId="20134" xr:uid="{00000000-0005-0000-0000-00005F350000}"/>
    <cellStyle name="40% - Accent5 2 2 3 6" xfId="10467" xr:uid="{00000000-0005-0000-0000-000060350000}"/>
    <cellStyle name="40% - Accent5 2 2 3 6 2" xfId="10468" xr:uid="{00000000-0005-0000-0000-000061350000}"/>
    <cellStyle name="40% - Accent5 2 2 3 6 3" xfId="21427" xr:uid="{00000000-0005-0000-0000-000062350000}"/>
    <cellStyle name="40% - Accent5 2 2 3 7" xfId="10469" xr:uid="{00000000-0005-0000-0000-000063350000}"/>
    <cellStyle name="40% - Accent5 2 2 3 8" xfId="18828" xr:uid="{00000000-0005-0000-0000-000064350000}"/>
    <cellStyle name="40% - Accent5 2 2 4" xfId="10470" xr:uid="{00000000-0005-0000-0000-000065350000}"/>
    <cellStyle name="40% - Accent5 2 2 4 2" xfId="10471" xr:uid="{00000000-0005-0000-0000-000066350000}"/>
    <cellStyle name="40% - Accent5 2 2 4 2 2" xfId="10472" xr:uid="{00000000-0005-0000-0000-000067350000}"/>
    <cellStyle name="40% - Accent5 2 2 4 2 2 2" xfId="10473" xr:uid="{00000000-0005-0000-0000-000068350000}"/>
    <cellStyle name="40% - Accent5 2 2 4 2 2 2 2" xfId="10474" xr:uid="{00000000-0005-0000-0000-000069350000}"/>
    <cellStyle name="40% - Accent5 2 2 4 2 2 2 2 2" xfId="10475" xr:uid="{00000000-0005-0000-0000-00006A350000}"/>
    <cellStyle name="40% - Accent5 2 2 4 2 2 2 2 3" xfId="23765" xr:uid="{00000000-0005-0000-0000-00006B350000}"/>
    <cellStyle name="40% - Accent5 2 2 4 2 2 2 3" xfId="10476" xr:uid="{00000000-0005-0000-0000-00006C350000}"/>
    <cellStyle name="40% - Accent5 2 2 4 2 2 2 4" xfId="21182" xr:uid="{00000000-0005-0000-0000-00006D350000}"/>
    <cellStyle name="40% - Accent5 2 2 4 2 2 3" xfId="10477" xr:uid="{00000000-0005-0000-0000-00006E350000}"/>
    <cellStyle name="40% - Accent5 2 2 4 2 2 3 2" xfId="10478" xr:uid="{00000000-0005-0000-0000-00006F350000}"/>
    <cellStyle name="40% - Accent5 2 2 4 2 2 3 3" xfId="22475" xr:uid="{00000000-0005-0000-0000-000070350000}"/>
    <cellStyle name="40% - Accent5 2 2 4 2 2 4" xfId="10479" xr:uid="{00000000-0005-0000-0000-000071350000}"/>
    <cellStyle name="40% - Accent5 2 2 4 2 2 5" xfId="19888" xr:uid="{00000000-0005-0000-0000-000072350000}"/>
    <cellStyle name="40% - Accent5 2 2 4 2 3" xfId="10480" xr:uid="{00000000-0005-0000-0000-000073350000}"/>
    <cellStyle name="40% - Accent5 2 2 4 2 3 2" xfId="10481" xr:uid="{00000000-0005-0000-0000-000074350000}"/>
    <cellStyle name="40% - Accent5 2 2 4 2 3 2 2" xfId="10482" xr:uid="{00000000-0005-0000-0000-000075350000}"/>
    <cellStyle name="40% - Accent5 2 2 4 2 3 2 3" xfId="23120" xr:uid="{00000000-0005-0000-0000-000076350000}"/>
    <cellStyle name="40% - Accent5 2 2 4 2 3 3" xfId="10483" xr:uid="{00000000-0005-0000-0000-000077350000}"/>
    <cellStyle name="40% - Accent5 2 2 4 2 3 4" xfId="20537" xr:uid="{00000000-0005-0000-0000-000078350000}"/>
    <cellStyle name="40% - Accent5 2 2 4 2 4" xfId="10484" xr:uid="{00000000-0005-0000-0000-000079350000}"/>
    <cellStyle name="40% - Accent5 2 2 4 2 4 2" xfId="10485" xr:uid="{00000000-0005-0000-0000-00007A350000}"/>
    <cellStyle name="40% - Accent5 2 2 4 2 4 3" xfId="21830" xr:uid="{00000000-0005-0000-0000-00007B350000}"/>
    <cellStyle name="40% - Accent5 2 2 4 2 5" xfId="10486" xr:uid="{00000000-0005-0000-0000-00007C350000}"/>
    <cellStyle name="40% - Accent5 2 2 4 2 6" xfId="19240" xr:uid="{00000000-0005-0000-0000-00007D350000}"/>
    <cellStyle name="40% - Accent5 2 2 4 3" xfId="10487" xr:uid="{00000000-0005-0000-0000-00007E350000}"/>
    <cellStyle name="40% - Accent5 2 2 4 3 2" xfId="10488" xr:uid="{00000000-0005-0000-0000-00007F350000}"/>
    <cellStyle name="40% - Accent5 2 2 4 3 2 2" xfId="10489" xr:uid="{00000000-0005-0000-0000-000080350000}"/>
    <cellStyle name="40% - Accent5 2 2 4 3 2 2 2" xfId="10490" xr:uid="{00000000-0005-0000-0000-000081350000}"/>
    <cellStyle name="40% - Accent5 2 2 4 3 2 2 3" xfId="23443" xr:uid="{00000000-0005-0000-0000-000082350000}"/>
    <cellStyle name="40% - Accent5 2 2 4 3 2 3" xfId="10491" xr:uid="{00000000-0005-0000-0000-000083350000}"/>
    <cellStyle name="40% - Accent5 2 2 4 3 2 4" xfId="20860" xr:uid="{00000000-0005-0000-0000-000084350000}"/>
    <cellStyle name="40% - Accent5 2 2 4 3 3" xfId="10492" xr:uid="{00000000-0005-0000-0000-000085350000}"/>
    <cellStyle name="40% - Accent5 2 2 4 3 3 2" xfId="10493" xr:uid="{00000000-0005-0000-0000-000086350000}"/>
    <cellStyle name="40% - Accent5 2 2 4 3 3 3" xfId="22153" xr:uid="{00000000-0005-0000-0000-000087350000}"/>
    <cellStyle name="40% - Accent5 2 2 4 3 4" xfId="10494" xr:uid="{00000000-0005-0000-0000-000088350000}"/>
    <cellStyle name="40% - Accent5 2 2 4 3 5" xfId="19566" xr:uid="{00000000-0005-0000-0000-000089350000}"/>
    <cellStyle name="40% - Accent5 2 2 4 4" xfId="10495" xr:uid="{00000000-0005-0000-0000-00008A350000}"/>
    <cellStyle name="40% - Accent5 2 2 4 4 2" xfId="10496" xr:uid="{00000000-0005-0000-0000-00008B350000}"/>
    <cellStyle name="40% - Accent5 2 2 4 4 2 2" xfId="10497" xr:uid="{00000000-0005-0000-0000-00008C350000}"/>
    <cellStyle name="40% - Accent5 2 2 4 4 2 3" xfId="22798" xr:uid="{00000000-0005-0000-0000-00008D350000}"/>
    <cellStyle name="40% - Accent5 2 2 4 4 3" xfId="10498" xr:uid="{00000000-0005-0000-0000-00008E350000}"/>
    <cellStyle name="40% - Accent5 2 2 4 4 4" xfId="20215" xr:uid="{00000000-0005-0000-0000-00008F350000}"/>
    <cellStyle name="40% - Accent5 2 2 4 5" xfId="10499" xr:uid="{00000000-0005-0000-0000-000090350000}"/>
    <cellStyle name="40% - Accent5 2 2 4 5 2" xfId="10500" xr:uid="{00000000-0005-0000-0000-000091350000}"/>
    <cellStyle name="40% - Accent5 2 2 4 5 3" xfId="21508" xr:uid="{00000000-0005-0000-0000-000092350000}"/>
    <cellStyle name="40% - Accent5 2 2 4 6" xfId="10501" xr:uid="{00000000-0005-0000-0000-000093350000}"/>
    <cellStyle name="40% - Accent5 2 2 4 7" xfId="18914" xr:uid="{00000000-0005-0000-0000-000094350000}"/>
    <cellStyle name="40% - Accent5 2 2 5" xfId="10502" xr:uid="{00000000-0005-0000-0000-000095350000}"/>
    <cellStyle name="40% - Accent5 2 2 5 2" xfId="10503" xr:uid="{00000000-0005-0000-0000-000096350000}"/>
    <cellStyle name="40% - Accent5 2 2 5 2 2" xfId="10504" xr:uid="{00000000-0005-0000-0000-000097350000}"/>
    <cellStyle name="40% - Accent5 2 2 5 2 2 2" xfId="10505" xr:uid="{00000000-0005-0000-0000-000098350000}"/>
    <cellStyle name="40% - Accent5 2 2 5 2 2 2 2" xfId="10506" xr:uid="{00000000-0005-0000-0000-000099350000}"/>
    <cellStyle name="40% - Accent5 2 2 5 2 2 2 3" xfId="23604" xr:uid="{00000000-0005-0000-0000-00009A350000}"/>
    <cellStyle name="40% - Accent5 2 2 5 2 2 3" xfId="10507" xr:uid="{00000000-0005-0000-0000-00009B350000}"/>
    <cellStyle name="40% - Accent5 2 2 5 2 2 4" xfId="21021" xr:uid="{00000000-0005-0000-0000-00009C350000}"/>
    <cellStyle name="40% - Accent5 2 2 5 2 3" xfId="10508" xr:uid="{00000000-0005-0000-0000-00009D350000}"/>
    <cellStyle name="40% - Accent5 2 2 5 2 3 2" xfId="10509" xr:uid="{00000000-0005-0000-0000-00009E350000}"/>
    <cellStyle name="40% - Accent5 2 2 5 2 3 3" xfId="22314" xr:uid="{00000000-0005-0000-0000-00009F350000}"/>
    <cellStyle name="40% - Accent5 2 2 5 2 4" xfId="10510" xr:uid="{00000000-0005-0000-0000-0000A0350000}"/>
    <cellStyle name="40% - Accent5 2 2 5 2 5" xfId="19727" xr:uid="{00000000-0005-0000-0000-0000A1350000}"/>
    <cellStyle name="40% - Accent5 2 2 5 3" xfId="10511" xr:uid="{00000000-0005-0000-0000-0000A2350000}"/>
    <cellStyle name="40% - Accent5 2 2 5 3 2" xfId="10512" xr:uid="{00000000-0005-0000-0000-0000A3350000}"/>
    <cellStyle name="40% - Accent5 2 2 5 3 2 2" xfId="10513" xr:uid="{00000000-0005-0000-0000-0000A4350000}"/>
    <cellStyle name="40% - Accent5 2 2 5 3 2 3" xfId="22959" xr:uid="{00000000-0005-0000-0000-0000A5350000}"/>
    <cellStyle name="40% - Accent5 2 2 5 3 3" xfId="10514" xr:uid="{00000000-0005-0000-0000-0000A6350000}"/>
    <cellStyle name="40% - Accent5 2 2 5 3 4" xfId="20376" xr:uid="{00000000-0005-0000-0000-0000A7350000}"/>
    <cellStyle name="40% - Accent5 2 2 5 4" xfId="10515" xr:uid="{00000000-0005-0000-0000-0000A8350000}"/>
    <cellStyle name="40% - Accent5 2 2 5 4 2" xfId="10516" xr:uid="{00000000-0005-0000-0000-0000A9350000}"/>
    <cellStyle name="40% - Accent5 2 2 5 4 3" xfId="21669" xr:uid="{00000000-0005-0000-0000-0000AA350000}"/>
    <cellStyle name="40% - Accent5 2 2 5 5" xfId="10517" xr:uid="{00000000-0005-0000-0000-0000AB350000}"/>
    <cellStyle name="40% - Accent5 2 2 5 6" xfId="19079" xr:uid="{00000000-0005-0000-0000-0000AC350000}"/>
    <cellStyle name="40% - Accent5 2 2 6" xfId="10518" xr:uid="{00000000-0005-0000-0000-0000AD350000}"/>
    <cellStyle name="40% - Accent5 2 2 6 2" xfId="10519" xr:uid="{00000000-0005-0000-0000-0000AE350000}"/>
    <cellStyle name="40% - Accent5 2 2 6 2 2" xfId="10520" xr:uid="{00000000-0005-0000-0000-0000AF350000}"/>
    <cellStyle name="40% - Accent5 2 2 6 2 2 2" xfId="10521" xr:uid="{00000000-0005-0000-0000-0000B0350000}"/>
    <cellStyle name="40% - Accent5 2 2 6 2 2 3" xfId="23281" xr:uid="{00000000-0005-0000-0000-0000B1350000}"/>
    <cellStyle name="40% - Accent5 2 2 6 2 3" xfId="10522" xr:uid="{00000000-0005-0000-0000-0000B2350000}"/>
    <cellStyle name="40% - Accent5 2 2 6 2 4" xfId="20698" xr:uid="{00000000-0005-0000-0000-0000B3350000}"/>
    <cellStyle name="40% - Accent5 2 2 6 3" xfId="10523" xr:uid="{00000000-0005-0000-0000-0000B4350000}"/>
    <cellStyle name="40% - Accent5 2 2 6 3 2" xfId="10524" xr:uid="{00000000-0005-0000-0000-0000B5350000}"/>
    <cellStyle name="40% - Accent5 2 2 6 3 3" xfId="21991" xr:uid="{00000000-0005-0000-0000-0000B6350000}"/>
    <cellStyle name="40% - Accent5 2 2 6 4" xfId="10525" xr:uid="{00000000-0005-0000-0000-0000B7350000}"/>
    <cellStyle name="40% - Accent5 2 2 6 5" xfId="19405" xr:uid="{00000000-0005-0000-0000-0000B8350000}"/>
    <cellStyle name="40% - Accent5 2 2 7" xfId="10526" xr:uid="{00000000-0005-0000-0000-0000B9350000}"/>
    <cellStyle name="40% - Accent5 2 2 7 2" xfId="10527" xr:uid="{00000000-0005-0000-0000-0000BA350000}"/>
    <cellStyle name="40% - Accent5 2 2 7 2 2" xfId="10528" xr:uid="{00000000-0005-0000-0000-0000BB350000}"/>
    <cellStyle name="40% - Accent5 2 2 7 2 3" xfId="22636" xr:uid="{00000000-0005-0000-0000-0000BC350000}"/>
    <cellStyle name="40% - Accent5 2 2 7 3" xfId="10529" xr:uid="{00000000-0005-0000-0000-0000BD350000}"/>
    <cellStyle name="40% - Accent5 2 2 7 4" xfId="20053" xr:uid="{00000000-0005-0000-0000-0000BE350000}"/>
    <cellStyle name="40% - Accent5 2 2 8" xfId="10530" xr:uid="{00000000-0005-0000-0000-0000BF350000}"/>
    <cellStyle name="40% - Accent5 2 2 8 2" xfId="10531" xr:uid="{00000000-0005-0000-0000-0000C0350000}"/>
    <cellStyle name="40% - Accent5 2 2 8 3" xfId="21346" xr:uid="{00000000-0005-0000-0000-0000C1350000}"/>
    <cellStyle name="40% - Accent5 2 2 9" xfId="10532" xr:uid="{00000000-0005-0000-0000-0000C2350000}"/>
    <cellStyle name="40% - Accent5 2 3" xfId="10533" xr:uid="{00000000-0005-0000-0000-0000C3350000}"/>
    <cellStyle name="40% - Accent5 2 3 2" xfId="10534" xr:uid="{00000000-0005-0000-0000-0000C4350000}"/>
    <cellStyle name="40% - Accent5 2 3 2 2" xfId="10535" xr:uid="{00000000-0005-0000-0000-0000C5350000}"/>
    <cellStyle name="40% - Accent5 2 3 2 2 2" xfId="10536" xr:uid="{00000000-0005-0000-0000-0000C6350000}"/>
    <cellStyle name="40% - Accent5 2 3 2 2 2 2" xfId="10537" xr:uid="{00000000-0005-0000-0000-0000C7350000}"/>
    <cellStyle name="40% - Accent5 2 3 2 2 2 2 2" xfId="10538" xr:uid="{00000000-0005-0000-0000-0000C8350000}"/>
    <cellStyle name="40% - Accent5 2 3 2 2 2 2 2 2" xfId="10539" xr:uid="{00000000-0005-0000-0000-0000C9350000}"/>
    <cellStyle name="40% - Accent5 2 3 2 2 2 2 2 2 2" xfId="10540" xr:uid="{00000000-0005-0000-0000-0000CA350000}"/>
    <cellStyle name="40% - Accent5 2 3 2 2 2 2 2 2 3" xfId="23865" xr:uid="{00000000-0005-0000-0000-0000CB350000}"/>
    <cellStyle name="40% - Accent5 2 3 2 2 2 2 2 3" xfId="10541" xr:uid="{00000000-0005-0000-0000-0000CC350000}"/>
    <cellStyle name="40% - Accent5 2 3 2 2 2 2 2 4" xfId="21282" xr:uid="{00000000-0005-0000-0000-0000CD350000}"/>
    <cellStyle name="40% - Accent5 2 3 2 2 2 2 3" xfId="10542" xr:uid="{00000000-0005-0000-0000-0000CE350000}"/>
    <cellStyle name="40% - Accent5 2 3 2 2 2 2 3 2" xfId="10543" xr:uid="{00000000-0005-0000-0000-0000CF350000}"/>
    <cellStyle name="40% - Accent5 2 3 2 2 2 2 3 3" xfId="22575" xr:uid="{00000000-0005-0000-0000-0000D0350000}"/>
    <cellStyle name="40% - Accent5 2 3 2 2 2 2 4" xfId="10544" xr:uid="{00000000-0005-0000-0000-0000D1350000}"/>
    <cellStyle name="40% - Accent5 2 3 2 2 2 2 5" xfId="19988" xr:uid="{00000000-0005-0000-0000-0000D2350000}"/>
    <cellStyle name="40% - Accent5 2 3 2 2 2 3" xfId="10545" xr:uid="{00000000-0005-0000-0000-0000D3350000}"/>
    <cellStyle name="40% - Accent5 2 3 2 2 2 3 2" xfId="10546" xr:uid="{00000000-0005-0000-0000-0000D4350000}"/>
    <cellStyle name="40% - Accent5 2 3 2 2 2 3 2 2" xfId="10547" xr:uid="{00000000-0005-0000-0000-0000D5350000}"/>
    <cellStyle name="40% - Accent5 2 3 2 2 2 3 2 3" xfId="23220" xr:uid="{00000000-0005-0000-0000-0000D6350000}"/>
    <cellStyle name="40% - Accent5 2 3 2 2 2 3 3" xfId="10548" xr:uid="{00000000-0005-0000-0000-0000D7350000}"/>
    <cellStyle name="40% - Accent5 2 3 2 2 2 3 4" xfId="20637" xr:uid="{00000000-0005-0000-0000-0000D8350000}"/>
    <cellStyle name="40% - Accent5 2 3 2 2 2 4" xfId="10549" xr:uid="{00000000-0005-0000-0000-0000D9350000}"/>
    <cellStyle name="40% - Accent5 2 3 2 2 2 4 2" xfId="10550" xr:uid="{00000000-0005-0000-0000-0000DA350000}"/>
    <cellStyle name="40% - Accent5 2 3 2 2 2 4 3" xfId="21930" xr:uid="{00000000-0005-0000-0000-0000DB350000}"/>
    <cellStyle name="40% - Accent5 2 3 2 2 2 5" xfId="10551" xr:uid="{00000000-0005-0000-0000-0000DC350000}"/>
    <cellStyle name="40% - Accent5 2 3 2 2 2 6" xfId="19340" xr:uid="{00000000-0005-0000-0000-0000DD350000}"/>
    <cellStyle name="40% - Accent5 2 3 2 2 3" xfId="10552" xr:uid="{00000000-0005-0000-0000-0000DE350000}"/>
    <cellStyle name="40% - Accent5 2 3 2 2 3 2" xfId="10553" xr:uid="{00000000-0005-0000-0000-0000DF350000}"/>
    <cellStyle name="40% - Accent5 2 3 2 2 3 2 2" xfId="10554" xr:uid="{00000000-0005-0000-0000-0000E0350000}"/>
    <cellStyle name="40% - Accent5 2 3 2 2 3 2 2 2" xfId="10555" xr:uid="{00000000-0005-0000-0000-0000E1350000}"/>
    <cellStyle name="40% - Accent5 2 3 2 2 3 2 2 3" xfId="23543" xr:uid="{00000000-0005-0000-0000-0000E2350000}"/>
    <cellStyle name="40% - Accent5 2 3 2 2 3 2 3" xfId="10556" xr:uid="{00000000-0005-0000-0000-0000E3350000}"/>
    <cellStyle name="40% - Accent5 2 3 2 2 3 2 4" xfId="20960" xr:uid="{00000000-0005-0000-0000-0000E4350000}"/>
    <cellStyle name="40% - Accent5 2 3 2 2 3 3" xfId="10557" xr:uid="{00000000-0005-0000-0000-0000E5350000}"/>
    <cellStyle name="40% - Accent5 2 3 2 2 3 3 2" xfId="10558" xr:uid="{00000000-0005-0000-0000-0000E6350000}"/>
    <cellStyle name="40% - Accent5 2 3 2 2 3 3 3" xfId="22253" xr:uid="{00000000-0005-0000-0000-0000E7350000}"/>
    <cellStyle name="40% - Accent5 2 3 2 2 3 4" xfId="10559" xr:uid="{00000000-0005-0000-0000-0000E8350000}"/>
    <cellStyle name="40% - Accent5 2 3 2 2 3 5" xfId="19666" xr:uid="{00000000-0005-0000-0000-0000E9350000}"/>
    <cellStyle name="40% - Accent5 2 3 2 2 4" xfId="10560" xr:uid="{00000000-0005-0000-0000-0000EA350000}"/>
    <cellStyle name="40% - Accent5 2 3 2 2 4 2" xfId="10561" xr:uid="{00000000-0005-0000-0000-0000EB350000}"/>
    <cellStyle name="40% - Accent5 2 3 2 2 4 2 2" xfId="10562" xr:uid="{00000000-0005-0000-0000-0000EC350000}"/>
    <cellStyle name="40% - Accent5 2 3 2 2 4 2 3" xfId="22898" xr:uid="{00000000-0005-0000-0000-0000ED350000}"/>
    <cellStyle name="40% - Accent5 2 3 2 2 4 3" xfId="10563" xr:uid="{00000000-0005-0000-0000-0000EE350000}"/>
    <cellStyle name="40% - Accent5 2 3 2 2 4 4" xfId="20315" xr:uid="{00000000-0005-0000-0000-0000EF350000}"/>
    <cellStyle name="40% - Accent5 2 3 2 2 5" xfId="10564" xr:uid="{00000000-0005-0000-0000-0000F0350000}"/>
    <cellStyle name="40% - Accent5 2 3 2 2 5 2" xfId="10565" xr:uid="{00000000-0005-0000-0000-0000F1350000}"/>
    <cellStyle name="40% - Accent5 2 3 2 2 5 3" xfId="21608" xr:uid="{00000000-0005-0000-0000-0000F2350000}"/>
    <cellStyle name="40% - Accent5 2 3 2 2 6" xfId="10566" xr:uid="{00000000-0005-0000-0000-0000F3350000}"/>
    <cellStyle name="40% - Accent5 2 3 2 2 7" xfId="19014" xr:uid="{00000000-0005-0000-0000-0000F4350000}"/>
    <cellStyle name="40% - Accent5 2 3 2 3" xfId="10567" xr:uid="{00000000-0005-0000-0000-0000F5350000}"/>
    <cellStyle name="40% - Accent5 2 3 2 3 2" xfId="10568" xr:uid="{00000000-0005-0000-0000-0000F6350000}"/>
    <cellStyle name="40% - Accent5 2 3 2 3 2 2" xfId="10569" xr:uid="{00000000-0005-0000-0000-0000F7350000}"/>
    <cellStyle name="40% - Accent5 2 3 2 3 2 2 2" xfId="10570" xr:uid="{00000000-0005-0000-0000-0000F8350000}"/>
    <cellStyle name="40% - Accent5 2 3 2 3 2 2 2 2" xfId="10571" xr:uid="{00000000-0005-0000-0000-0000F9350000}"/>
    <cellStyle name="40% - Accent5 2 3 2 3 2 2 2 3" xfId="23704" xr:uid="{00000000-0005-0000-0000-0000FA350000}"/>
    <cellStyle name="40% - Accent5 2 3 2 3 2 2 3" xfId="10572" xr:uid="{00000000-0005-0000-0000-0000FB350000}"/>
    <cellStyle name="40% - Accent5 2 3 2 3 2 2 4" xfId="21121" xr:uid="{00000000-0005-0000-0000-0000FC350000}"/>
    <cellStyle name="40% - Accent5 2 3 2 3 2 3" xfId="10573" xr:uid="{00000000-0005-0000-0000-0000FD350000}"/>
    <cellStyle name="40% - Accent5 2 3 2 3 2 3 2" xfId="10574" xr:uid="{00000000-0005-0000-0000-0000FE350000}"/>
    <cellStyle name="40% - Accent5 2 3 2 3 2 3 3" xfId="22414" xr:uid="{00000000-0005-0000-0000-0000FF350000}"/>
    <cellStyle name="40% - Accent5 2 3 2 3 2 4" xfId="10575" xr:uid="{00000000-0005-0000-0000-000000360000}"/>
    <cellStyle name="40% - Accent5 2 3 2 3 2 5" xfId="19827" xr:uid="{00000000-0005-0000-0000-000001360000}"/>
    <cellStyle name="40% - Accent5 2 3 2 3 3" xfId="10576" xr:uid="{00000000-0005-0000-0000-000002360000}"/>
    <cellStyle name="40% - Accent5 2 3 2 3 3 2" xfId="10577" xr:uid="{00000000-0005-0000-0000-000003360000}"/>
    <cellStyle name="40% - Accent5 2 3 2 3 3 2 2" xfId="10578" xr:uid="{00000000-0005-0000-0000-000004360000}"/>
    <cellStyle name="40% - Accent5 2 3 2 3 3 2 3" xfId="23059" xr:uid="{00000000-0005-0000-0000-000005360000}"/>
    <cellStyle name="40% - Accent5 2 3 2 3 3 3" xfId="10579" xr:uid="{00000000-0005-0000-0000-000006360000}"/>
    <cellStyle name="40% - Accent5 2 3 2 3 3 4" xfId="20476" xr:uid="{00000000-0005-0000-0000-000007360000}"/>
    <cellStyle name="40% - Accent5 2 3 2 3 4" xfId="10580" xr:uid="{00000000-0005-0000-0000-000008360000}"/>
    <cellStyle name="40% - Accent5 2 3 2 3 4 2" xfId="10581" xr:uid="{00000000-0005-0000-0000-000009360000}"/>
    <cellStyle name="40% - Accent5 2 3 2 3 4 3" xfId="21769" xr:uid="{00000000-0005-0000-0000-00000A360000}"/>
    <cellStyle name="40% - Accent5 2 3 2 3 5" xfId="10582" xr:uid="{00000000-0005-0000-0000-00000B360000}"/>
    <cellStyle name="40% - Accent5 2 3 2 3 6" xfId="19179" xr:uid="{00000000-0005-0000-0000-00000C360000}"/>
    <cellStyle name="40% - Accent5 2 3 2 4" xfId="10583" xr:uid="{00000000-0005-0000-0000-00000D360000}"/>
    <cellStyle name="40% - Accent5 2 3 2 4 2" xfId="10584" xr:uid="{00000000-0005-0000-0000-00000E360000}"/>
    <cellStyle name="40% - Accent5 2 3 2 4 2 2" xfId="10585" xr:uid="{00000000-0005-0000-0000-00000F360000}"/>
    <cellStyle name="40% - Accent5 2 3 2 4 2 2 2" xfId="10586" xr:uid="{00000000-0005-0000-0000-000010360000}"/>
    <cellStyle name="40% - Accent5 2 3 2 4 2 2 3" xfId="23382" xr:uid="{00000000-0005-0000-0000-000011360000}"/>
    <cellStyle name="40% - Accent5 2 3 2 4 2 3" xfId="10587" xr:uid="{00000000-0005-0000-0000-000012360000}"/>
    <cellStyle name="40% - Accent5 2 3 2 4 2 4" xfId="20799" xr:uid="{00000000-0005-0000-0000-000013360000}"/>
    <cellStyle name="40% - Accent5 2 3 2 4 3" xfId="10588" xr:uid="{00000000-0005-0000-0000-000014360000}"/>
    <cellStyle name="40% - Accent5 2 3 2 4 3 2" xfId="10589" xr:uid="{00000000-0005-0000-0000-000015360000}"/>
    <cellStyle name="40% - Accent5 2 3 2 4 3 3" xfId="22092" xr:uid="{00000000-0005-0000-0000-000016360000}"/>
    <cellStyle name="40% - Accent5 2 3 2 4 4" xfId="10590" xr:uid="{00000000-0005-0000-0000-000017360000}"/>
    <cellStyle name="40% - Accent5 2 3 2 4 5" xfId="19505" xr:uid="{00000000-0005-0000-0000-000018360000}"/>
    <cellStyle name="40% - Accent5 2 3 2 5" xfId="10591" xr:uid="{00000000-0005-0000-0000-000019360000}"/>
    <cellStyle name="40% - Accent5 2 3 2 5 2" xfId="10592" xr:uid="{00000000-0005-0000-0000-00001A360000}"/>
    <cellStyle name="40% - Accent5 2 3 2 5 2 2" xfId="10593" xr:uid="{00000000-0005-0000-0000-00001B360000}"/>
    <cellStyle name="40% - Accent5 2 3 2 5 2 3" xfId="22737" xr:uid="{00000000-0005-0000-0000-00001C360000}"/>
    <cellStyle name="40% - Accent5 2 3 2 5 3" xfId="10594" xr:uid="{00000000-0005-0000-0000-00001D360000}"/>
    <cellStyle name="40% - Accent5 2 3 2 5 4" xfId="20154" xr:uid="{00000000-0005-0000-0000-00001E360000}"/>
    <cellStyle name="40% - Accent5 2 3 2 6" xfId="10595" xr:uid="{00000000-0005-0000-0000-00001F360000}"/>
    <cellStyle name="40% - Accent5 2 3 2 6 2" xfId="10596" xr:uid="{00000000-0005-0000-0000-000020360000}"/>
    <cellStyle name="40% - Accent5 2 3 2 6 3" xfId="21447" xr:uid="{00000000-0005-0000-0000-000021360000}"/>
    <cellStyle name="40% - Accent5 2 3 2 7" xfId="10597" xr:uid="{00000000-0005-0000-0000-000022360000}"/>
    <cellStyle name="40% - Accent5 2 3 2 8" xfId="18849" xr:uid="{00000000-0005-0000-0000-000023360000}"/>
    <cellStyle name="40% - Accent5 2 3 3" xfId="10598" xr:uid="{00000000-0005-0000-0000-000024360000}"/>
    <cellStyle name="40% - Accent5 2 3 3 2" xfId="10599" xr:uid="{00000000-0005-0000-0000-000025360000}"/>
    <cellStyle name="40% - Accent5 2 3 3 2 2" xfId="10600" xr:uid="{00000000-0005-0000-0000-000026360000}"/>
    <cellStyle name="40% - Accent5 2 3 3 2 2 2" xfId="10601" xr:uid="{00000000-0005-0000-0000-000027360000}"/>
    <cellStyle name="40% - Accent5 2 3 3 2 2 2 2" xfId="10602" xr:uid="{00000000-0005-0000-0000-000028360000}"/>
    <cellStyle name="40% - Accent5 2 3 3 2 2 2 2 2" xfId="10603" xr:uid="{00000000-0005-0000-0000-000029360000}"/>
    <cellStyle name="40% - Accent5 2 3 3 2 2 2 2 3" xfId="23785" xr:uid="{00000000-0005-0000-0000-00002A360000}"/>
    <cellStyle name="40% - Accent5 2 3 3 2 2 2 3" xfId="10604" xr:uid="{00000000-0005-0000-0000-00002B360000}"/>
    <cellStyle name="40% - Accent5 2 3 3 2 2 2 4" xfId="21202" xr:uid="{00000000-0005-0000-0000-00002C360000}"/>
    <cellStyle name="40% - Accent5 2 3 3 2 2 3" xfId="10605" xr:uid="{00000000-0005-0000-0000-00002D360000}"/>
    <cellStyle name="40% - Accent5 2 3 3 2 2 3 2" xfId="10606" xr:uid="{00000000-0005-0000-0000-00002E360000}"/>
    <cellStyle name="40% - Accent5 2 3 3 2 2 3 3" xfId="22495" xr:uid="{00000000-0005-0000-0000-00002F360000}"/>
    <cellStyle name="40% - Accent5 2 3 3 2 2 4" xfId="10607" xr:uid="{00000000-0005-0000-0000-000030360000}"/>
    <cellStyle name="40% - Accent5 2 3 3 2 2 5" xfId="19908" xr:uid="{00000000-0005-0000-0000-000031360000}"/>
    <cellStyle name="40% - Accent5 2 3 3 2 3" xfId="10608" xr:uid="{00000000-0005-0000-0000-000032360000}"/>
    <cellStyle name="40% - Accent5 2 3 3 2 3 2" xfId="10609" xr:uid="{00000000-0005-0000-0000-000033360000}"/>
    <cellStyle name="40% - Accent5 2 3 3 2 3 2 2" xfId="10610" xr:uid="{00000000-0005-0000-0000-000034360000}"/>
    <cellStyle name="40% - Accent5 2 3 3 2 3 2 3" xfId="23140" xr:uid="{00000000-0005-0000-0000-000035360000}"/>
    <cellStyle name="40% - Accent5 2 3 3 2 3 3" xfId="10611" xr:uid="{00000000-0005-0000-0000-000036360000}"/>
    <cellStyle name="40% - Accent5 2 3 3 2 3 4" xfId="20557" xr:uid="{00000000-0005-0000-0000-000037360000}"/>
    <cellStyle name="40% - Accent5 2 3 3 2 4" xfId="10612" xr:uid="{00000000-0005-0000-0000-000038360000}"/>
    <cellStyle name="40% - Accent5 2 3 3 2 4 2" xfId="10613" xr:uid="{00000000-0005-0000-0000-000039360000}"/>
    <cellStyle name="40% - Accent5 2 3 3 2 4 3" xfId="21850" xr:uid="{00000000-0005-0000-0000-00003A360000}"/>
    <cellStyle name="40% - Accent5 2 3 3 2 5" xfId="10614" xr:uid="{00000000-0005-0000-0000-00003B360000}"/>
    <cellStyle name="40% - Accent5 2 3 3 2 6" xfId="19260" xr:uid="{00000000-0005-0000-0000-00003C360000}"/>
    <cellStyle name="40% - Accent5 2 3 3 3" xfId="10615" xr:uid="{00000000-0005-0000-0000-00003D360000}"/>
    <cellStyle name="40% - Accent5 2 3 3 3 2" xfId="10616" xr:uid="{00000000-0005-0000-0000-00003E360000}"/>
    <cellStyle name="40% - Accent5 2 3 3 3 2 2" xfId="10617" xr:uid="{00000000-0005-0000-0000-00003F360000}"/>
    <cellStyle name="40% - Accent5 2 3 3 3 2 2 2" xfId="10618" xr:uid="{00000000-0005-0000-0000-000040360000}"/>
    <cellStyle name="40% - Accent5 2 3 3 3 2 2 3" xfId="23463" xr:uid="{00000000-0005-0000-0000-000041360000}"/>
    <cellStyle name="40% - Accent5 2 3 3 3 2 3" xfId="10619" xr:uid="{00000000-0005-0000-0000-000042360000}"/>
    <cellStyle name="40% - Accent5 2 3 3 3 2 4" xfId="20880" xr:uid="{00000000-0005-0000-0000-000043360000}"/>
    <cellStyle name="40% - Accent5 2 3 3 3 3" xfId="10620" xr:uid="{00000000-0005-0000-0000-000044360000}"/>
    <cellStyle name="40% - Accent5 2 3 3 3 3 2" xfId="10621" xr:uid="{00000000-0005-0000-0000-000045360000}"/>
    <cellStyle name="40% - Accent5 2 3 3 3 3 3" xfId="22173" xr:uid="{00000000-0005-0000-0000-000046360000}"/>
    <cellStyle name="40% - Accent5 2 3 3 3 4" xfId="10622" xr:uid="{00000000-0005-0000-0000-000047360000}"/>
    <cellStyle name="40% - Accent5 2 3 3 3 5" xfId="19586" xr:uid="{00000000-0005-0000-0000-000048360000}"/>
    <cellStyle name="40% - Accent5 2 3 3 4" xfId="10623" xr:uid="{00000000-0005-0000-0000-000049360000}"/>
    <cellStyle name="40% - Accent5 2 3 3 4 2" xfId="10624" xr:uid="{00000000-0005-0000-0000-00004A360000}"/>
    <cellStyle name="40% - Accent5 2 3 3 4 2 2" xfId="10625" xr:uid="{00000000-0005-0000-0000-00004B360000}"/>
    <cellStyle name="40% - Accent5 2 3 3 4 2 3" xfId="22818" xr:uid="{00000000-0005-0000-0000-00004C360000}"/>
    <cellStyle name="40% - Accent5 2 3 3 4 3" xfId="10626" xr:uid="{00000000-0005-0000-0000-00004D360000}"/>
    <cellStyle name="40% - Accent5 2 3 3 4 4" xfId="20235" xr:uid="{00000000-0005-0000-0000-00004E360000}"/>
    <cellStyle name="40% - Accent5 2 3 3 5" xfId="10627" xr:uid="{00000000-0005-0000-0000-00004F360000}"/>
    <cellStyle name="40% - Accent5 2 3 3 5 2" xfId="10628" xr:uid="{00000000-0005-0000-0000-000050360000}"/>
    <cellStyle name="40% - Accent5 2 3 3 5 3" xfId="21528" xr:uid="{00000000-0005-0000-0000-000051360000}"/>
    <cellStyle name="40% - Accent5 2 3 3 6" xfId="10629" xr:uid="{00000000-0005-0000-0000-000052360000}"/>
    <cellStyle name="40% - Accent5 2 3 3 7" xfId="18934" xr:uid="{00000000-0005-0000-0000-000053360000}"/>
    <cellStyle name="40% - Accent5 2 3 4" xfId="10630" xr:uid="{00000000-0005-0000-0000-000054360000}"/>
    <cellStyle name="40% - Accent5 2 3 4 2" xfId="10631" xr:uid="{00000000-0005-0000-0000-000055360000}"/>
    <cellStyle name="40% - Accent5 2 3 4 2 2" xfId="10632" xr:uid="{00000000-0005-0000-0000-000056360000}"/>
    <cellStyle name="40% - Accent5 2 3 4 2 2 2" xfId="10633" xr:uid="{00000000-0005-0000-0000-000057360000}"/>
    <cellStyle name="40% - Accent5 2 3 4 2 2 2 2" xfId="10634" xr:uid="{00000000-0005-0000-0000-000058360000}"/>
    <cellStyle name="40% - Accent5 2 3 4 2 2 2 3" xfId="23624" xr:uid="{00000000-0005-0000-0000-000059360000}"/>
    <cellStyle name="40% - Accent5 2 3 4 2 2 3" xfId="10635" xr:uid="{00000000-0005-0000-0000-00005A360000}"/>
    <cellStyle name="40% - Accent5 2 3 4 2 2 4" xfId="21041" xr:uid="{00000000-0005-0000-0000-00005B360000}"/>
    <cellStyle name="40% - Accent5 2 3 4 2 3" xfId="10636" xr:uid="{00000000-0005-0000-0000-00005C360000}"/>
    <cellStyle name="40% - Accent5 2 3 4 2 3 2" xfId="10637" xr:uid="{00000000-0005-0000-0000-00005D360000}"/>
    <cellStyle name="40% - Accent5 2 3 4 2 3 3" xfId="22334" xr:uid="{00000000-0005-0000-0000-00005E360000}"/>
    <cellStyle name="40% - Accent5 2 3 4 2 4" xfId="10638" xr:uid="{00000000-0005-0000-0000-00005F360000}"/>
    <cellStyle name="40% - Accent5 2 3 4 2 5" xfId="19747" xr:uid="{00000000-0005-0000-0000-000060360000}"/>
    <cellStyle name="40% - Accent5 2 3 4 3" xfId="10639" xr:uid="{00000000-0005-0000-0000-000061360000}"/>
    <cellStyle name="40% - Accent5 2 3 4 3 2" xfId="10640" xr:uid="{00000000-0005-0000-0000-000062360000}"/>
    <cellStyle name="40% - Accent5 2 3 4 3 2 2" xfId="10641" xr:uid="{00000000-0005-0000-0000-000063360000}"/>
    <cellStyle name="40% - Accent5 2 3 4 3 2 3" xfId="22979" xr:uid="{00000000-0005-0000-0000-000064360000}"/>
    <cellStyle name="40% - Accent5 2 3 4 3 3" xfId="10642" xr:uid="{00000000-0005-0000-0000-000065360000}"/>
    <cellStyle name="40% - Accent5 2 3 4 3 4" xfId="20396" xr:uid="{00000000-0005-0000-0000-000066360000}"/>
    <cellStyle name="40% - Accent5 2 3 4 4" xfId="10643" xr:uid="{00000000-0005-0000-0000-000067360000}"/>
    <cellStyle name="40% - Accent5 2 3 4 4 2" xfId="10644" xr:uid="{00000000-0005-0000-0000-000068360000}"/>
    <cellStyle name="40% - Accent5 2 3 4 4 3" xfId="21689" xr:uid="{00000000-0005-0000-0000-000069360000}"/>
    <cellStyle name="40% - Accent5 2 3 4 5" xfId="10645" xr:uid="{00000000-0005-0000-0000-00006A360000}"/>
    <cellStyle name="40% - Accent5 2 3 4 6" xfId="19099" xr:uid="{00000000-0005-0000-0000-00006B360000}"/>
    <cellStyle name="40% - Accent5 2 3 5" xfId="10646" xr:uid="{00000000-0005-0000-0000-00006C360000}"/>
    <cellStyle name="40% - Accent5 2 3 5 2" xfId="10647" xr:uid="{00000000-0005-0000-0000-00006D360000}"/>
    <cellStyle name="40% - Accent5 2 3 5 2 2" xfId="10648" xr:uid="{00000000-0005-0000-0000-00006E360000}"/>
    <cellStyle name="40% - Accent5 2 3 5 2 2 2" xfId="10649" xr:uid="{00000000-0005-0000-0000-00006F360000}"/>
    <cellStyle name="40% - Accent5 2 3 5 2 2 3" xfId="23301" xr:uid="{00000000-0005-0000-0000-000070360000}"/>
    <cellStyle name="40% - Accent5 2 3 5 2 3" xfId="10650" xr:uid="{00000000-0005-0000-0000-000071360000}"/>
    <cellStyle name="40% - Accent5 2 3 5 2 4" xfId="20718" xr:uid="{00000000-0005-0000-0000-000072360000}"/>
    <cellStyle name="40% - Accent5 2 3 5 3" xfId="10651" xr:uid="{00000000-0005-0000-0000-000073360000}"/>
    <cellStyle name="40% - Accent5 2 3 5 3 2" xfId="10652" xr:uid="{00000000-0005-0000-0000-000074360000}"/>
    <cellStyle name="40% - Accent5 2 3 5 3 3" xfId="22011" xr:uid="{00000000-0005-0000-0000-000075360000}"/>
    <cellStyle name="40% - Accent5 2 3 5 4" xfId="10653" xr:uid="{00000000-0005-0000-0000-000076360000}"/>
    <cellStyle name="40% - Accent5 2 3 5 5" xfId="19425" xr:uid="{00000000-0005-0000-0000-000077360000}"/>
    <cellStyle name="40% - Accent5 2 3 6" xfId="10654" xr:uid="{00000000-0005-0000-0000-000078360000}"/>
    <cellStyle name="40% - Accent5 2 3 6 2" xfId="10655" xr:uid="{00000000-0005-0000-0000-000079360000}"/>
    <cellStyle name="40% - Accent5 2 3 6 2 2" xfId="10656" xr:uid="{00000000-0005-0000-0000-00007A360000}"/>
    <cellStyle name="40% - Accent5 2 3 6 2 3" xfId="22656" xr:uid="{00000000-0005-0000-0000-00007B360000}"/>
    <cellStyle name="40% - Accent5 2 3 6 3" xfId="10657" xr:uid="{00000000-0005-0000-0000-00007C360000}"/>
    <cellStyle name="40% - Accent5 2 3 6 4" xfId="20073" xr:uid="{00000000-0005-0000-0000-00007D360000}"/>
    <cellStyle name="40% - Accent5 2 3 7" xfId="10658" xr:uid="{00000000-0005-0000-0000-00007E360000}"/>
    <cellStyle name="40% - Accent5 2 3 7 2" xfId="10659" xr:uid="{00000000-0005-0000-0000-00007F360000}"/>
    <cellStyle name="40% - Accent5 2 3 7 3" xfId="21366" xr:uid="{00000000-0005-0000-0000-000080360000}"/>
    <cellStyle name="40% - Accent5 2 3 8" xfId="10660" xr:uid="{00000000-0005-0000-0000-000081360000}"/>
    <cellStyle name="40% - Accent5 2 3 9" xfId="18752" xr:uid="{00000000-0005-0000-0000-000082360000}"/>
    <cellStyle name="40% - Accent5 2 4" xfId="10661" xr:uid="{00000000-0005-0000-0000-000083360000}"/>
    <cellStyle name="40% - Accent5 2 4 2" xfId="10662" xr:uid="{00000000-0005-0000-0000-000084360000}"/>
    <cellStyle name="40% - Accent5 2 4 2 2" xfId="10663" xr:uid="{00000000-0005-0000-0000-000085360000}"/>
    <cellStyle name="40% - Accent5 2 4 2 2 2" xfId="10664" xr:uid="{00000000-0005-0000-0000-000086360000}"/>
    <cellStyle name="40% - Accent5 2 4 2 2 2 2" xfId="10665" xr:uid="{00000000-0005-0000-0000-000087360000}"/>
    <cellStyle name="40% - Accent5 2 4 2 2 2 2 2" xfId="10666" xr:uid="{00000000-0005-0000-0000-000088360000}"/>
    <cellStyle name="40% - Accent5 2 4 2 2 2 2 2 2" xfId="10667" xr:uid="{00000000-0005-0000-0000-000089360000}"/>
    <cellStyle name="40% - Accent5 2 4 2 2 2 2 2 3" xfId="23825" xr:uid="{00000000-0005-0000-0000-00008A360000}"/>
    <cellStyle name="40% - Accent5 2 4 2 2 2 2 3" xfId="10668" xr:uid="{00000000-0005-0000-0000-00008B360000}"/>
    <cellStyle name="40% - Accent5 2 4 2 2 2 2 4" xfId="21242" xr:uid="{00000000-0005-0000-0000-00008C360000}"/>
    <cellStyle name="40% - Accent5 2 4 2 2 2 3" xfId="10669" xr:uid="{00000000-0005-0000-0000-00008D360000}"/>
    <cellStyle name="40% - Accent5 2 4 2 2 2 3 2" xfId="10670" xr:uid="{00000000-0005-0000-0000-00008E360000}"/>
    <cellStyle name="40% - Accent5 2 4 2 2 2 3 3" xfId="22535" xr:uid="{00000000-0005-0000-0000-00008F360000}"/>
    <cellStyle name="40% - Accent5 2 4 2 2 2 4" xfId="10671" xr:uid="{00000000-0005-0000-0000-000090360000}"/>
    <cellStyle name="40% - Accent5 2 4 2 2 2 5" xfId="19948" xr:uid="{00000000-0005-0000-0000-000091360000}"/>
    <cellStyle name="40% - Accent5 2 4 2 2 3" xfId="10672" xr:uid="{00000000-0005-0000-0000-000092360000}"/>
    <cellStyle name="40% - Accent5 2 4 2 2 3 2" xfId="10673" xr:uid="{00000000-0005-0000-0000-000093360000}"/>
    <cellStyle name="40% - Accent5 2 4 2 2 3 2 2" xfId="10674" xr:uid="{00000000-0005-0000-0000-000094360000}"/>
    <cellStyle name="40% - Accent5 2 4 2 2 3 2 3" xfId="23180" xr:uid="{00000000-0005-0000-0000-000095360000}"/>
    <cellStyle name="40% - Accent5 2 4 2 2 3 3" xfId="10675" xr:uid="{00000000-0005-0000-0000-000096360000}"/>
    <cellStyle name="40% - Accent5 2 4 2 2 3 4" xfId="20597" xr:uid="{00000000-0005-0000-0000-000097360000}"/>
    <cellStyle name="40% - Accent5 2 4 2 2 4" xfId="10676" xr:uid="{00000000-0005-0000-0000-000098360000}"/>
    <cellStyle name="40% - Accent5 2 4 2 2 4 2" xfId="10677" xr:uid="{00000000-0005-0000-0000-000099360000}"/>
    <cellStyle name="40% - Accent5 2 4 2 2 4 3" xfId="21890" xr:uid="{00000000-0005-0000-0000-00009A360000}"/>
    <cellStyle name="40% - Accent5 2 4 2 2 5" xfId="10678" xr:uid="{00000000-0005-0000-0000-00009B360000}"/>
    <cellStyle name="40% - Accent5 2 4 2 2 6" xfId="19300" xr:uid="{00000000-0005-0000-0000-00009C360000}"/>
    <cellStyle name="40% - Accent5 2 4 2 3" xfId="10679" xr:uid="{00000000-0005-0000-0000-00009D360000}"/>
    <cellStyle name="40% - Accent5 2 4 2 3 2" xfId="10680" xr:uid="{00000000-0005-0000-0000-00009E360000}"/>
    <cellStyle name="40% - Accent5 2 4 2 3 2 2" xfId="10681" xr:uid="{00000000-0005-0000-0000-00009F360000}"/>
    <cellStyle name="40% - Accent5 2 4 2 3 2 2 2" xfId="10682" xr:uid="{00000000-0005-0000-0000-0000A0360000}"/>
    <cellStyle name="40% - Accent5 2 4 2 3 2 2 3" xfId="23503" xr:uid="{00000000-0005-0000-0000-0000A1360000}"/>
    <cellStyle name="40% - Accent5 2 4 2 3 2 3" xfId="10683" xr:uid="{00000000-0005-0000-0000-0000A2360000}"/>
    <cellStyle name="40% - Accent5 2 4 2 3 2 4" xfId="20920" xr:uid="{00000000-0005-0000-0000-0000A3360000}"/>
    <cellStyle name="40% - Accent5 2 4 2 3 3" xfId="10684" xr:uid="{00000000-0005-0000-0000-0000A4360000}"/>
    <cellStyle name="40% - Accent5 2 4 2 3 3 2" xfId="10685" xr:uid="{00000000-0005-0000-0000-0000A5360000}"/>
    <cellStyle name="40% - Accent5 2 4 2 3 3 3" xfId="22213" xr:uid="{00000000-0005-0000-0000-0000A6360000}"/>
    <cellStyle name="40% - Accent5 2 4 2 3 4" xfId="10686" xr:uid="{00000000-0005-0000-0000-0000A7360000}"/>
    <cellStyle name="40% - Accent5 2 4 2 3 5" xfId="19626" xr:uid="{00000000-0005-0000-0000-0000A8360000}"/>
    <cellStyle name="40% - Accent5 2 4 2 4" xfId="10687" xr:uid="{00000000-0005-0000-0000-0000A9360000}"/>
    <cellStyle name="40% - Accent5 2 4 2 4 2" xfId="10688" xr:uid="{00000000-0005-0000-0000-0000AA360000}"/>
    <cellStyle name="40% - Accent5 2 4 2 4 2 2" xfId="10689" xr:uid="{00000000-0005-0000-0000-0000AB360000}"/>
    <cellStyle name="40% - Accent5 2 4 2 4 2 3" xfId="22858" xr:uid="{00000000-0005-0000-0000-0000AC360000}"/>
    <cellStyle name="40% - Accent5 2 4 2 4 3" xfId="10690" xr:uid="{00000000-0005-0000-0000-0000AD360000}"/>
    <cellStyle name="40% - Accent5 2 4 2 4 4" xfId="20275" xr:uid="{00000000-0005-0000-0000-0000AE360000}"/>
    <cellStyle name="40% - Accent5 2 4 2 5" xfId="10691" xr:uid="{00000000-0005-0000-0000-0000AF360000}"/>
    <cellStyle name="40% - Accent5 2 4 2 5 2" xfId="10692" xr:uid="{00000000-0005-0000-0000-0000B0360000}"/>
    <cellStyle name="40% - Accent5 2 4 2 5 3" xfId="21568" xr:uid="{00000000-0005-0000-0000-0000B1360000}"/>
    <cellStyle name="40% - Accent5 2 4 2 6" xfId="10693" xr:uid="{00000000-0005-0000-0000-0000B2360000}"/>
    <cellStyle name="40% - Accent5 2 4 2 7" xfId="18974" xr:uid="{00000000-0005-0000-0000-0000B3360000}"/>
    <cellStyle name="40% - Accent5 2 4 3" xfId="10694" xr:uid="{00000000-0005-0000-0000-0000B4360000}"/>
    <cellStyle name="40% - Accent5 2 4 3 2" xfId="10695" xr:uid="{00000000-0005-0000-0000-0000B5360000}"/>
    <cellStyle name="40% - Accent5 2 4 3 2 2" xfId="10696" xr:uid="{00000000-0005-0000-0000-0000B6360000}"/>
    <cellStyle name="40% - Accent5 2 4 3 2 2 2" xfId="10697" xr:uid="{00000000-0005-0000-0000-0000B7360000}"/>
    <cellStyle name="40% - Accent5 2 4 3 2 2 2 2" xfId="10698" xr:uid="{00000000-0005-0000-0000-0000B8360000}"/>
    <cellStyle name="40% - Accent5 2 4 3 2 2 2 3" xfId="23664" xr:uid="{00000000-0005-0000-0000-0000B9360000}"/>
    <cellStyle name="40% - Accent5 2 4 3 2 2 3" xfId="10699" xr:uid="{00000000-0005-0000-0000-0000BA360000}"/>
    <cellStyle name="40% - Accent5 2 4 3 2 2 4" xfId="21081" xr:uid="{00000000-0005-0000-0000-0000BB360000}"/>
    <cellStyle name="40% - Accent5 2 4 3 2 3" xfId="10700" xr:uid="{00000000-0005-0000-0000-0000BC360000}"/>
    <cellStyle name="40% - Accent5 2 4 3 2 3 2" xfId="10701" xr:uid="{00000000-0005-0000-0000-0000BD360000}"/>
    <cellStyle name="40% - Accent5 2 4 3 2 3 3" xfId="22374" xr:uid="{00000000-0005-0000-0000-0000BE360000}"/>
    <cellStyle name="40% - Accent5 2 4 3 2 4" xfId="10702" xr:uid="{00000000-0005-0000-0000-0000BF360000}"/>
    <cellStyle name="40% - Accent5 2 4 3 2 5" xfId="19787" xr:uid="{00000000-0005-0000-0000-0000C0360000}"/>
    <cellStyle name="40% - Accent5 2 4 3 3" xfId="10703" xr:uid="{00000000-0005-0000-0000-0000C1360000}"/>
    <cellStyle name="40% - Accent5 2 4 3 3 2" xfId="10704" xr:uid="{00000000-0005-0000-0000-0000C2360000}"/>
    <cellStyle name="40% - Accent5 2 4 3 3 2 2" xfId="10705" xr:uid="{00000000-0005-0000-0000-0000C3360000}"/>
    <cellStyle name="40% - Accent5 2 4 3 3 2 3" xfId="23019" xr:uid="{00000000-0005-0000-0000-0000C4360000}"/>
    <cellStyle name="40% - Accent5 2 4 3 3 3" xfId="10706" xr:uid="{00000000-0005-0000-0000-0000C5360000}"/>
    <cellStyle name="40% - Accent5 2 4 3 3 4" xfId="20436" xr:uid="{00000000-0005-0000-0000-0000C6360000}"/>
    <cellStyle name="40% - Accent5 2 4 3 4" xfId="10707" xr:uid="{00000000-0005-0000-0000-0000C7360000}"/>
    <cellStyle name="40% - Accent5 2 4 3 4 2" xfId="10708" xr:uid="{00000000-0005-0000-0000-0000C8360000}"/>
    <cellStyle name="40% - Accent5 2 4 3 4 3" xfId="21729" xr:uid="{00000000-0005-0000-0000-0000C9360000}"/>
    <cellStyle name="40% - Accent5 2 4 3 5" xfId="10709" xr:uid="{00000000-0005-0000-0000-0000CA360000}"/>
    <cellStyle name="40% - Accent5 2 4 3 6" xfId="19139" xr:uid="{00000000-0005-0000-0000-0000CB360000}"/>
    <cellStyle name="40% - Accent5 2 4 4" xfId="10710" xr:uid="{00000000-0005-0000-0000-0000CC360000}"/>
    <cellStyle name="40% - Accent5 2 4 4 2" xfId="10711" xr:uid="{00000000-0005-0000-0000-0000CD360000}"/>
    <cellStyle name="40% - Accent5 2 4 4 2 2" xfId="10712" xr:uid="{00000000-0005-0000-0000-0000CE360000}"/>
    <cellStyle name="40% - Accent5 2 4 4 2 2 2" xfId="10713" xr:uid="{00000000-0005-0000-0000-0000CF360000}"/>
    <cellStyle name="40% - Accent5 2 4 4 2 2 3" xfId="23342" xr:uid="{00000000-0005-0000-0000-0000D0360000}"/>
    <cellStyle name="40% - Accent5 2 4 4 2 3" xfId="10714" xr:uid="{00000000-0005-0000-0000-0000D1360000}"/>
    <cellStyle name="40% - Accent5 2 4 4 2 4" xfId="20759" xr:uid="{00000000-0005-0000-0000-0000D2360000}"/>
    <cellStyle name="40% - Accent5 2 4 4 3" xfId="10715" xr:uid="{00000000-0005-0000-0000-0000D3360000}"/>
    <cellStyle name="40% - Accent5 2 4 4 3 2" xfId="10716" xr:uid="{00000000-0005-0000-0000-0000D4360000}"/>
    <cellStyle name="40% - Accent5 2 4 4 3 3" xfId="22052" xr:uid="{00000000-0005-0000-0000-0000D5360000}"/>
    <cellStyle name="40% - Accent5 2 4 4 4" xfId="10717" xr:uid="{00000000-0005-0000-0000-0000D6360000}"/>
    <cellStyle name="40% - Accent5 2 4 4 5" xfId="19465" xr:uid="{00000000-0005-0000-0000-0000D7360000}"/>
    <cellStyle name="40% - Accent5 2 4 5" xfId="10718" xr:uid="{00000000-0005-0000-0000-0000D8360000}"/>
    <cellStyle name="40% - Accent5 2 4 5 2" xfId="10719" xr:uid="{00000000-0005-0000-0000-0000D9360000}"/>
    <cellStyle name="40% - Accent5 2 4 5 2 2" xfId="10720" xr:uid="{00000000-0005-0000-0000-0000DA360000}"/>
    <cellStyle name="40% - Accent5 2 4 5 2 3" xfId="22697" xr:uid="{00000000-0005-0000-0000-0000DB360000}"/>
    <cellStyle name="40% - Accent5 2 4 5 3" xfId="10721" xr:uid="{00000000-0005-0000-0000-0000DC360000}"/>
    <cellStyle name="40% - Accent5 2 4 5 4" xfId="20114" xr:uid="{00000000-0005-0000-0000-0000DD360000}"/>
    <cellStyle name="40% - Accent5 2 4 6" xfId="10722" xr:uid="{00000000-0005-0000-0000-0000DE360000}"/>
    <cellStyle name="40% - Accent5 2 4 6 2" xfId="10723" xr:uid="{00000000-0005-0000-0000-0000DF360000}"/>
    <cellStyle name="40% - Accent5 2 4 6 3" xfId="21407" xr:uid="{00000000-0005-0000-0000-0000E0360000}"/>
    <cellStyle name="40% - Accent5 2 4 7" xfId="10724" xr:uid="{00000000-0005-0000-0000-0000E1360000}"/>
    <cellStyle name="40% - Accent5 2 4 8" xfId="18806" xr:uid="{00000000-0005-0000-0000-0000E2360000}"/>
    <cellStyle name="40% - Accent5 2 5" xfId="10725" xr:uid="{00000000-0005-0000-0000-0000E3360000}"/>
    <cellStyle name="40% - Accent5 2 5 2" xfId="10726" xr:uid="{00000000-0005-0000-0000-0000E4360000}"/>
    <cellStyle name="40% - Accent5 2 5 2 2" xfId="10727" xr:uid="{00000000-0005-0000-0000-0000E5360000}"/>
    <cellStyle name="40% - Accent5 2 5 2 2 2" xfId="10728" xr:uid="{00000000-0005-0000-0000-0000E6360000}"/>
    <cellStyle name="40% - Accent5 2 5 2 2 2 2" xfId="10729" xr:uid="{00000000-0005-0000-0000-0000E7360000}"/>
    <cellStyle name="40% - Accent5 2 5 2 2 2 2 2" xfId="10730" xr:uid="{00000000-0005-0000-0000-0000E8360000}"/>
    <cellStyle name="40% - Accent5 2 5 2 2 2 2 3" xfId="23745" xr:uid="{00000000-0005-0000-0000-0000E9360000}"/>
    <cellStyle name="40% - Accent5 2 5 2 2 2 3" xfId="10731" xr:uid="{00000000-0005-0000-0000-0000EA360000}"/>
    <cellStyle name="40% - Accent5 2 5 2 2 2 4" xfId="21162" xr:uid="{00000000-0005-0000-0000-0000EB360000}"/>
    <cellStyle name="40% - Accent5 2 5 2 2 3" xfId="10732" xr:uid="{00000000-0005-0000-0000-0000EC360000}"/>
    <cellStyle name="40% - Accent5 2 5 2 2 3 2" xfId="10733" xr:uid="{00000000-0005-0000-0000-0000ED360000}"/>
    <cellStyle name="40% - Accent5 2 5 2 2 3 3" xfId="22455" xr:uid="{00000000-0005-0000-0000-0000EE360000}"/>
    <cellStyle name="40% - Accent5 2 5 2 2 4" xfId="10734" xr:uid="{00000000-0005-0000-0000-0000EF360000}"/>
    <cellStyle name="40% - Accent5 2 5 2 2 5" xfId="19868" xr:uid="{00000000-0005-0000-0000-0000F0360000}"/>
    <cellStyle name="40% - Accent5 2 5 2 3" xfId="10735" xr:uid="{00000000-0005-0000-0000-0000F1360000}"/>
    <cellStyle name="40% - Accent5 2 5 2 3 2" xfId="10736" xr:uid="{00000000-0005-0000-0000-0000F2360000}"/>
    <cellStyle name="40% - Accent5 2 5 2 3 2 2" xfId="10737" xr:uid="{00000000-0005-0000-0000-0000F3360000}"/>
    <cellStyle name="40% - Accent5 2 5 2 3 2 3" xfId="23100" xr:uid="{00000000-0005-0000-0000-0000F4360000}"/>
    <cellStyle name="40% - Accent5 2 5 2 3 3" xfId="10738" xr:uid="{00000000-0005-0000-0000-0000F5360000}"/>
    <cellStyle name="40% - Accent5 2 5 2 3 4" xfId="20517" xr:uid="{00000000-0005-0000-0000-0000F6360000}"/>
    <cellStyle name="40% - Accent5 2 5 2 4" xfId="10739" xr:uid="{00000000-0005-0000-0000-0000F7360000}"/>
    <cellStyle name="40% - Accent5 2 5 2 4 2" xfId="10740" xr:uid="{00000000-0005-0000-0000-0000F8360000}"/>
    <cellStyle name="40% - Accent5 2 5 2 4 3" xfId="21810" xr:uid="{00000000-0005-0000-0000-0000F9360000}"/>
    <cellStyle name="40% - Accent5 2 5 2 5" xfId="10741" xr:uid="{00000000-0005-0000-0000-0000FA360000}"/>
    <cellStyle name="40% - Accent5 2 5 2 6" xfId="19220" xr:uid="{00000000-0005-0000-0000-0000FB360000}"/>
    <cellStyle name="40% - Accent5 2 5 3" xfId="10742" xr:uid="{00000000-0005-0000-0000-0000FC360000}"/>
    <cellStyle name="40% - Accent5 2 5 3 2" xfId="10743" xr:uid="{00000000-0005-0000-0000-0000FD360000}"/>
    <cellStyle name="40% - Accent5 2 5 3 2 2" xfId="10744" xr:uid="{00000000-0005-0000-0000-0000FE360000}"/>
    <cellStyle name="40% - Accent5 2 5 3 2 2 2" xfId="10745" xr:uid="{00000000-0005-0000-0000-0000FF360000}"/>
    <cellStyle name="40% - Accent5 2 5 3 2 2 3" xfId="23423" xr:uid="{00000000-0005-0000-0000-000000370000}"/>
    <cellStyle name="40% - Accent5 2 5 3 2 3" xfId="10746" xr:uid="{00000000-0005-0000-0000-000001370000}"/>
    <cellStyle name="40% - Accent5 2 5 3 2 4" xfId="20840" xr:uid="{00000000-0005-0000-0000-000002370000}"/>
    <cellStyle name="40% - Accent5 2 5 3 3" xfId="10747" xr:uid="{00000000-0005-0000-0000-000003370000}"/>
    <cellStyle name="40% - Accent5 2 5 3 3 2" xfId="10748" xr:uid="{00000000-0005-0000-0000-000004370000}"/>
    <cellStyle name="40% - Accent5 2 5 3 3 3" xfId="22133" xr:uid="{00000000-0005-0000-0000-000005370000}"/>
    <cellStyle name="40% - Accent5 2 5 3 4" xfId="10749" xr:uid="{00000000-0005-0000-0000-000006370000}"/>
    <cellStyle name="40% - Accent5 2 5 3 5" xfId="19546" xr:uid="{00000000-0005-0000-0000-000007370000}"/>
    <cellStyle name="40% - Accent5 2 5 4" xfId="10750" xr:uid="{00000000-0005-0000-0000-000008370000}"/>
    <cellStyle name="40% - Accent5 2 5 4 2" xfId="10751" xr:uid="{00000000-0005-0000-0000-000009370000}"/>
    <cellStyle name="40% - Accent5 2 5 4 2 2" xfId="10752" xr:uid="{00000000-0005-0000-0000-00000A370000}"/>
    <cellStyle name="40% - Accent5 2 5 4 2 3" xfId="22778" xr:uid="{00000000-0005-0000-0000-00000B370000}"/>
    <cellStyle name="40% - Accent5 2 5 4 3" xfId="10753" xr:uid="{00000000-0005-0000-0000-00000C370000}"/>
    <cellStyle name="40% - Accent5 2 5 4 4" xfId="20195" xr:uid="{00000000-0005-0000-0000-00000D370000}"/>
    <cellStyle name="40% - Accent5 2 5 5" xfId="10754" xr:uid="{00000000-0005-0000-0000-00000E370000}"/>
    <cellStyle name="40% - Accent5 2 5 5 2" xfId="10755" xr:uid="{00000000-0005-0000-0000-00000F370000}"/>
    <cellStyle name="40% - Accent5 2 5 5 3" xfId="21488" xr:uid="{00000000-0005-0000-0000-000010370000}"/>
    <cellStyle name="40% - Accent5 2 5 6" xfId="10756" xr:uid="{00000000-0005-0000-0000-000011370000}"/>
    <cellStyle name="40% - Accent5 2 5 7" xfId="18894" xr:uid="{00000000-0005-0000-0000-000012370000}"/>
    <cellStyle name="40% - Accent5 2 6" xfId="10757" xr:uid="{00000000-0005-0000-0000-000013370000}"/>
    <cellStyle name="40% - Accent5 2 6 2" xfId="10758" xr:uid="{00000000-0005-0000-0000-000014370000}"/>
    <cellStyle name="40% - Accent5 2 6 2 2" xfId="10759" xr:uid="{00000000-0005-0000-0000-000015370000}"/>
    <cellStyle name="40% - Accent5 2 6 2 2 2" xfId="10760" xr:uid="{00000000-0005-0000-0000-000016370000}"/>
    <cellStyle name="40% - Accent5 2 6 2 2 2 2" xfId="10761" xr:uid="{00000000-0005-0000-0000-000017370000}"/>
    <cellStyle name="40% - Accent5 2 6 2 2 2 3" xfId="23584" xr:uid="{00000000-0005-0000-0000-000018370000}"/>
    <cellStyle name="40% - Accent5 2 6 2 2 3" xfId="10762" xr:uid="{00000000-0005-0000-0000-000019370000}"/>
    <cellStyle name="40% - Accent5 2 6 2 2 4" xfId="21001" xr:uid="{00000000-0005-0000-0000-00001A370000}"/>
    <cellStyle name="40% - Accent5 2 6 2 3" xfId="10763" xr:uid="{00000000-0005-0000-0000-00001B370000}"/>
    <cellStyle name="40% - Accent5 2 6 2 3 2" xfId="10764" xr:uid="{00000000-0005-0000-0000-00001C370000}"/>
    <cellStyle name="40% - Accent5 2 6 2 3 3" xfId="22294" xr:uid="{00000000-0005-0000-0000-00001D370000}"/>
    <cellStyle name="40% - Accent5 2 6 2 4" xfId="10765" xr:uid="{00000000-0005-0000-0000-00001E370000}"/>
    <cellStyle name="40% - Accent5 2 6 2 5" xfId="19707" xr:uid="{00000000-0005-0000-0000-00001F370000}"/>
    <cellStyle name="40% - Accent5 2 6 3" xfId="10766" xr:uid="{00000000-0005-0000-0000-000020370000}"/>
    <cellStyle name="40% - Accent5 2 6 3 2" xfId="10767" xr:uid="{00000000-0005-0000-0000-000021370000}"/>
    <cellStyle name="40% - Accent5 2 6 3 2 2" xfId="10768" xr:uid="{00000000-0005-0000-0000-000022370000}"/>
    <cellStyle name="40% - Accent5 2 6 3 2 3" xfId="22939" xr:uid="{00000000-0005-0000-0000-000023370000}"/>
    <cellStyle name="40% - Accent5 2 6 3 3" xfId="10769" xr:uid="{00000000-0005-0000-0000-000024370000}"/>
    <cellStyle name="40% - Accent5 2 6 3 4" xfId="20356" xr:uid="{00000000-0005-0000-0000-000025370000}"/>
    <cellStyle name="40% - Accent5 2 6 4" xfId="10770" xr:uid="{00000000-0005-0000-0000-000026370000}"/>
    <cellStyle name="40% - Accent5 2 6 4 2" xfId="10771" xr:uid="{00000000-0005-0000-0000-000027370000}"/>
    <cellStyle name="40% - Accent5 2 6 4 3" xfId="21649" xr:uid="{00000000-0005-0000-0000-000028370000}"/>
    <cellStyle name="40% - Accent5 2 6 5" xfId="10772" xr:uid="{00000000-0005-0000-0000-000029370000}"/>
    <cellStyle name="40% - Accent5 2 6 6" xfId="19059" xr:uid="{00000000-0005-0000-0000-00002A370000}"/>
    <cellStyle name="40% - Accent5 2 7" xfId="10773" xr:uid="{00000000-0005-0000-0000-00002B370000}"/>
    <cellStyle name="40% - Accent5 2 7 2" xfId="10774" xr:uid="{00000000-0005-0000-0000-00002C370000}"/>
    <cellStyle name="40% - Accent5 2 7 2 2" xfId="10775" xr:uid="{00000000-0005-0000-0000-00002D370000}"/>
    <cellStyle name="40% - Accent5 2 7 2 2 2" xfId="10776" xr:uid="{00000000-0005-0000-0000-00002E370000}"/>
    <cellStyle name="40% - Accent5 2 7 2 2 3" xfId="23261" xr:uid="{00000000-0005-0000-0000-00002F370000}"/>
    <cellStyle name="40% - Accent5 2 7 2 3" xfId="10777" xr:uid="{00000000-0005-0000-0000-000030370000}"/>
    <cellStyle name="40% - Accent5 2 7 2 4" xfId="20678" xr:uid="{00000000-0005-0000-0000-000031370000}"/>
    <cellStyle name="40% - Accent5 2 7 3" xfId="10778" xr:uid="{00000000-0005-0000-0000-000032370000}"/>
    <cellStyle name="40% - Accent5 2 7 3 2" xfId="10779" xr:uid="{00000000-0005-0000-0000-000033370000}"/>
    <cellStyle name="40% - Accent5 2 7 3 3" xfId="21971" xr:uid="{00000000-0005-0000-0000-000034370000}"/>
    <cellStyle name="40% - Accent5 2 7 4" xfId="10780" xr:uid="{00000000-0005-0000-0000-000035370000}"/>
    <cellStyle name="40% - Accent5 2 7 5" xfId="19385" xr:uid="{00000000-0005-0000-0000-000036370000}"/>
    <cellStyle name="40% - Accent5 2 8" xfId="10781" xr:uid="{00000000-0005-0000-0000-000037370000}"/>
    <cellStyle name="40% - Accent5 2 8 2" xfId="10782" xr:uid="{00000000-0005-0000-0000-000038370000}"/>
    <cellStyle name="40% - Accent5 2 8 2 2" xfId="10783" xr:uid="{00000000-0005-0000-0000-000039370000}"/>
    <cellStyle name="40% - Accent5 2 8 2 3" xfId="22616" xr:uid="{00000000-0005-0000-0000-00003A370000}"/>
    <cellStyle name="40% - Accent5 2 8 3" xfId="10784" xr:uid="{00000000-0005-0000-0000-00003B370000}"/>
    <cellStyle name="40% - Accent5 2 8 4" xfId="20033" xr:uid="{00000000-0005-0000-0000-00003C370000}"/>
    <cellStyle name="40% - Accent5 2 9" xfId="10785" xr:uid="{00000000-0005-0000-0000-00003D370000}"/>
    <cellStyle name="40% - Accent5 2 9 2" xfId="10786" xr:uid="{00000000-0005-0000-0000-00003E370000}"/>
    <cellStyle name="40% - Accent5 2 9 3" xfId="21326" xr:uid="{00000000-0005-0000-0000-00003F370000}"/>
    <cellStyle name="40% - Accent5 3" xfId="10787" xr:uid="{00000000-0005-0000-0000-000040370000}"/>
    <cellStyle name="40% - Accent5 3 10" xfId="18714" xr:uid="{00000000-0005-0000-0000-000041370000}"/>
    <cellStyle name="40% - Accent5 3 2" xfId="10788" xr:uid="{00000000-0005-0000-0000-000042370000}"/>
    <cellStyle name="40% - Accent5 3 2 2" xfId="10789" xr:uid="{00000000-0005-0000-0000-000043370000}"/>
    <cellStyle name="40% - Accent5 3 2 2 2" xfId="10790" xr:uid="{00000000-0005-0000-0000-000044370000}"/>
    <cellStyle name="40% - Accent5 3 2 2 2 2" xfId="10791" xr:uid="{00000000-0005-0000-0000-000045370000}"/>
    <cellStyle name="40% - Accent5 3 2 2 2 2 2" xfId="10792" xr:uid="{00000000-0005-0000-0000-000046370000}"/>
    <cellStyle name="40% - Accent5 3 2 2 2 2 2 2" xfId="10793" xr:uid="{00000000-0005-0000-0000-000047370000}"/>
    <cellStyle name="40% - Accent5 3 2 2 2 2 2 2 2" xfId="10794" xr:uid="{00000000-0005-0000-0000-000048370000}"/>
    <cellStyle name="40% - Accent5 3 2 2 2 2 2 2 2 2" xfId="10795" xr:uid="{00000000-0005-0000-0000-000049370000}"/>
    <cellStyle name="40% - Accent5 3 2 2 2 2 2 2 2 3" xfId="23875" xr:uid="{00000000-0005-0000-0000-00004A370000}"/>
    <cellStyle name="40% - Accent5 3 2 2 2 2 2 2 3" xfId="10796" xr:uid="{00000000-0005-0000-0000-00004B370000}"/>
    <cellStyle name="40% - Accent5 3 2 2 2 2 2 2 4" xfId="21292" xr:uid="{00000000-0005-0000-0000-00004C370000}"/>
    <cellStyle name="40% - Accent5 3 2 2 2 2 2 3" xfId="10797" xr:uid="{00000000-0005-0000-0000-00004D370000}"/>
    <cellStyle name="40% - Accent5 3 2 2 2 2 2 3 2" xfId="10798" xr:uid="{00000000-0005-0000-0000-00004E370000}"/>
    <cellStyle name="40% - Accent5 3 2 2 2 2 2 3 3" xfId="22585" xr:uid="{00000000-0005-0000-0000-00004F370000}"/>
    <cellStyle name="40% - Accent5 3 2 2 2 2 2 4" xfId="10799" xr:uid="{00000000-0005-0000-0000-000050370000}"/>
    <cellStyle name="40% - Accent5 3 2 2 2 2 2 5" xfId="19998" xr:uid="{00000000-0005-0000-0000-000051370000}"/>
    <cellStyle name="40% - Accent5 3 2 2 2 2 3" xfId="10800" xr:uid="{00000000-0005-0000-0000-000052370000}"/>
    <cellStyle name="40% - Accent5 3 2 2 2 2 3 2" xfId="10801" xr:uid="{00000000-0005-0000-0000-000053370000}"/>
    <cellStyle name="40% - Accent5 3 2 2 2 2 3 2 2" xfId="10802" xr:uid="{00000000-0005-0000-0000-000054370000}"/>
    <cellStyle name="40% - Accent5 3 2 2 2 2 3 2 3" xfId="23230" xr:uid="{00000000-0005-0000-0000-000055370000}"/>
    <cellStyle name="40% - Accent5 3 2 2 2 2 3 3" xfId="10803" xr:uid="{00000000-0005-0000-0000-000056370000}"/>
    <cellStyle name="40% - Accent5 3 2 2 2 2 3 4" xfId="20647" xr:uid="{00000000-0005-0000-0000-000057370000}"/>
    <cellStyle name="40% - Accent5 3 2 2 2 2 4" xfId="10804" xr:uid="{00000000-0005-0000-0000-000058370000}"/>
    <cellStyle name="40% - Accent5 3 2 2 2 2 4 2" xfId="10805" xr:uid="{00000000-0005-0000-0000-000059370000}"/>
    <cellStyle name="40% - Accent5 3 2 2 2 2 4 3" xfId="21940" xr:uid="{00000000-0005-0000-0000-00005A370000}"/>
    <cellStyle name="40% - Accent5 3 2 2 2 2 5" xfId="10806" xr:uid="{00000000-0005-0000-0000-00005B370000}"/>
    <cellStyle name="40% - Accent5 3 2 2 2 2 6" xfId="19350" xr:uid="{00000000-0005-0000-0000-00005C370000}"/>
    <cellStyle name="40% - Accent5 3 2 2 2 3" xfId="10807" xr:uid="{00000000-0005-0000-0000-00005D370000}"/>
    <cellStyle name="40% - Accent5 3 2 2 2 3 2" xfId="10808" xr:uid="{00000000-0005-0000-0000-00005E370000}"/>
    <cellStyle name="40% - Accent5 3 2 2 2 3 2 2" xfId="10809" xr:uid="{00000000-0005-0000-0000-00005F370000}"/>
    <cellStyle name="40% - Accent5 3 2 2 2 3 2 2 2" xfId="10810" xr:uid="{00000000-0005-0000-0000-000060370000}"/>
    <cellStyle name="40% - Accent5 3 2 2 2 3 2 2 3" xfId="23553" xr:uid="{00000000-0005-0000-0000-000061370000}"/>
    <cellStyle name="40% - Accent5 3 2 2 2 3 2 3" xfId="10811" xr:uid="{00000000-0005-0000-0000-000062370000}"/>
    <cellStyle name="40% - Accent5 3 2 2 2 3 2 4" xfId="20970" xr:uid="{00000000-0005-0000-0000-000063370000}"/>
    <cellStyle name="40% - Accent5 3 2 2 2 3 3" xfId="10812" xr:uid="{00000000-0005-0000-0000-000064370000}"/>
    <cellStyle name="40% - Accent5 3 2 2 2 3 3 2" xfId="10813" xr:uid="{00000000-0005-0000-0000-000065370000}"/>
    <cellStyle name="40% - Accent5 3 2 2 2 3 3 3" xfId="22263" xr:uid="{00000000-0005-0000-0000-000066370000}"/>
    <cellStyle name="40% - Accent5 3 2 2 2 3 4" xfId="10814" xr:uid="{00000000-0005-0000-0000-000067370000}"/>
    <cellStyle name="40% - Accent5 3 2 2 2 3 5" xfId="19676" xr:uid="{00000000-0005-0000-0000-000068370000}"/>
    <cellStyle name="40% - Accent5 3 2 2 2 4" xfId="10815" xr:uid="{00000000-0005-0000-0000-000069370000}"/>
    <cellStyle name="40% - Accent5 3 2 2 2 4 2" xfId="10816" xr:uid="{00000000-0005-0000-0000-00006A370000}"/>
    <cellStyle name="40% - Accent5 3 2 2 2 4 2 2" xfId="10817" xr:uid="{00000000-0005-0000-0000-00006B370000}"/>
    <cellStyle name="40% - Accent5 3 2 2 2 4 2 3" xfId="22908" xr:uid="{00000000-0005-0000-0000-00006C370000}"/>
    <cellStyle name="40% - Accent5 3 2 2 2 4 3" xfId="10818" xr:uid="{00000000-0005-0000-0000-00006D370000}"/>
    <cellStyle name="40% - Accent5 3 2 2 2 4 4" xfId="20325" xr:uid="{00000000-0005-0000-0000-00006E370000}"/>
    <cellStyle name="40% - Accent5 3 2 2 2 5" xfId="10819" xr:uid="{00000000-0005-0000-0000-00006F370000}"/>
    <cellStyle name="40% - Accent5 3 2 2 2 5 2" xfId="10820" xr:uid="{00000000-0005-0000-0000-000070370000}"/>
    <cellStyle name="40% - Accent5 3 2 2 2 5 3" xfId="21618" xr:uid="{00000000-0005-0000-0000-000071370000}"/>
    <cellStyle name="40% - Accent5 3 2 2 2 6" xfId="10821" xr:uid="{00000000-0005-0000-0000-000072370000}"/>
    <cellStyle name="40% - Accent5 3 2 2 2 7" xfId="19024" xr:uid="{00000000-0005-0000-0000-000073370000}"/>
    <cellStyle name="40% - Accent5 3 2 2 3" xfId="10822" xr:uid="{00000000-0005-0000-0000-000074370000}"/>
    <cellStyle name="40% - Accent5 3 2 2 3 2" xfId="10823" xr:uid="{00000000-0005-0000-0000-000075370000}"/>
    <cellStyle name="40% - Accent5 3 2 2 3 2 2" xfId="10824" xr:uid="{00000000-0005-0000-0000-000076370000}"/>
    <cellStyle name="40% - Accent5 3 2 2 3 2 2 2" xfId="10825" xr:uid="{00000000-0005-0000-0000-000077370000}"/>
    <cellStyle name="40% - Accent5 3 2 2 3 2 2 2 2" xfId="10826" xr:uid="{00000000-0005-0000-0000-000078370000}"/>
    <cellStyle name="40% - Accent5 3 2 2 3 2 2 2 3" xfId="23714" xr:uid="{00000000-0005-0000-0000-000079370000}"/>
    <cellStyle name="40% - Accent5 3 2 2 3 2 2 3" xfId="10827" xr:uid="{00000000-0005-0000-0000-00007A370000}"/>
    <cellStyle name="40% - Accent5 3 2 2 3 2 2 4" xfId="21131" xr:uid="{00000000-0005-0000-0000-00007B370000}"/>
    <cellStyle name="40% - Accent5 3 2 2 3 2 3" xfId="10828" xr:uid="{00000000-0005-0000-0000-00007C370000}"/>
    <cellStyle name="40% - Accent5 3 2 2 3 2 3 2" xfId="10829" xr:uid="{00000000-0005-0000-0000-00007D370000}"/>
    <cellStyle name="40% - Accent5 3 2 2 3 2 3 3" xfId="22424" xr:uid="{00000000-0005-0000-0000-00007E370000}"/>
    <cellStyle name="40% - Accent5 3 2 2 3 2 4" xfId="10830" xr:uid="{00000000-0005-0000-0000-00007F370000}"/>
    <cellStyle name="40% - Accent5 3 2 2 3 2 5" xfId="19837" xr:uid="{00000000-0005-0000-0000-000080370000}"/>
    <cellStyle name="40% - Accent5 3 2 2 3 3" xfId="10831" xr:uid="{00000000-0005-0000-0000-000081370000}"/>
    <cellStyle name="40% - Accent5 3 2 2 3 3 2" xfId="10832" xr:uid="{00000000-0005-0000-0000-000082370000}"/>
    <cellStyle name="40% - Accent5 3 2 2 3 3 2 2" xfId="10833" xr:uid="{00000000-0005-0000-0000-000083370000}"/>
    <cellStyle name="40% - Accent5 3 2 2 3 3 2 3" xfId="23069" xr:uid="{00000000-0005-0000-0000-000084370000}"/>
    <cellStyle name="40% - Accent5 3 2 2 3 3 3" xfId="10834" xr:uid="{00000000-0005-0000-0000-000085370000}"/>
    <cellStyle name="40% - Accent5 3 2 2 3 3 4" xfId="20486" xr:uid="{00000000-0005-0000-0000-000086370000}"/>
    <cellStyle name="40% - Accent5 3 2 2 3 4" xfId="10835" xr:uid="{00000000-0005-0000-0000-000087370000}"/>
    <cellStyle name="40% - Accent5 3 2 2 3 4 2" xfId="10836" xr:uid="{00000000-0005-0000-0000-000088370000}"/>
    <cellStyle name="40% - Accent5 3 2 2 3 4 3" xfId="21779" xr:uid="{00000000-0005-0000-0000-000089370000}"/>
    <cellStyle name="40% - Accent5 3 2 2 3 5" xfId="10837" xr:uid="{00000000-0005-0000-0000-00008A370000}"/>
    <cellStyle name="40% - Accent5 3 2 2 3 6" xfId="19189" xr:uid="{00000000-0005-0000-0000-00008B370000}"/>
    <cellStyle name="40% - Accent5 3 2 2 4" xfId="10838" xr:uid="{00000000-0005-0000-0000-00008C370000}"/>
    <cellStyle name="40% - Accent5 3 2 2 4 2" xfId="10839" xr:uid="{00000000-0005-0000-0000-00008D370000}"/>
    <cellStyle name="40% - Accent5 3 2 2 4 2 2" xfId="10840" xr:uid="{00000000-0005-0000-0000-00008E370000}"/>
    <cellStyle name="40% - Accent5 3 2 2 4 2 2 2" xfId="10841" xr:uid="{00000000-0005-0000-0000-00008F370000}"/>
    <cellStyle name="40% - Accent5 3 2 2 4 2 2 3" xfId="23392" xr:uid="{00000000-0005-0000-0000-000090370000}"/>
    <cellStyle name="40% - Accent5 3 2 2 4 2 3" xfId="10842" xr:uid="{00000000-0005-0000-0000-000091370000}"/>
    <cellStyle name="40% - Accent5 3 2 2 4 2 4" xfId="20809" xr:uid="{00000000-0005-0000-0000-000092370000}"/>
    <cellStyle name="40% - Accent5 3 2 2 4 3" xfId="10843" xr:uid="{00000000-0005-0000-0000-000093370000}"/>
    <cellStyle name="40% - Accent5 3 2 2 4 3 2" xfId="10844" xr:uid="{00000000-0005-0000-0000-000094370000}"/>
    <cellStyle name="40% - Accent5 3 2 2 4 3 3" xfId="22102" xr:uid="{00000000-0005-0000-0000-000095370000}"/>
    <cellStyle name="40% - Accent5 3 2 2 4 4" xfId="10845" xr:uid="{00000000-0005-0000-0000-000096370000}"/>
    <cellStyle name="40% - Accent5 3 2 2 4 5" xfId="19515" xr:uid="{00000000-0005-0000-0000-000097370000}"/>
    <cellStyle name="40% - Accent5 3 2 2 5" xfId="10846" xr:uid="{00000000-0005-0000-0000-000098370000}"/>
    <cellStyle name="40% - Accent5 3 2 2 5 2" xfId="10847" xr:uid="{00000000-0005-0000-0000-000099370000}"/>
    <cellStyle name="40% - Accent5 3 2 2 5 2 2" xfId="10848" xr:uid="{00000000-0005-0000-0000-00009A370000}"/>
    <cellStyle name="40% - Accent5 3 2 2 5 2 3" xfId="22747" xr:uid="{00000000-0005-0000-0000-00009B370000}"/>
    <cellStyle name="40% - Accent5 3 2 2 5 3" xfId="10849" xr:uid="{00000000-0005-0000-0000-00009C370000}"/>
    <cellStyle name="40% - Accent5 3 2 2 5 4" xfId="20164" xr:uid="{00000000-0005-0000-0000-00009D370000}"/>
    <cellStyle name="40% - Accent5 3 2 2 6" xfId="10850" xr:uid="{00000000-0005-0000-0000-00009E370000}"/>
    <cellStyle name="40% - Accent5 3 2 2 6 2" xfId="10851" xr:uid="{00000000-0005-0000-0000-00009F370000}"/>
    <cellStyle name="40% - Accent5 3 2 2 6 3" xfId="21457" xr:uid="{00000000-0005-0000-0000-0000A0370000}"/>
    <cellStyle name="40% - Accent5 3 2 2 7" xfId="10852" xr:uid="{00000000-0005-0000-0000-0000A1370000}"/>
    <cellStyle name="40% - Accent5 3 2 2 8" xfId="18859" xr:uid="{00000000-0005-0000-0000-0000A2370000}"/>
    <cellStyle name="40% - Accent5 3 2 3" xfId="10853" xr:uid="{00000000-0005-0000-0000-0000A3370000}"/>
    <cellStyle name="40% - Accent5 3 2 3 2" xfId="10854" xr:uid="{00000000-0005-0000-0000-0000A4370000}"/>
    <cellStyle name="40% - Accent5 3 2 3 2 2" xfId="10855" xr:uid="{00000000-0005-0000-0000-0000A5370000}"/>
    <cellStyle name="40% - Accent5 3 2 3 2 2 2" xfId="10856" xr:uid="{00000000-0005-0000-0000-0000A6370000}"/>
    <cellStyle name="40% - Accent5 3 2 3 2 2 2 2" xfId="10857" xr:uid="{00000000-0005-0000-0000-0000A7370000}"/>
    <cellStyle name="40% - Accent5 3 2 3 2 2 2 2 2" xfId="10858" xr:uid="{00000000-0005-0000-0000-0000A8370000}"/>
    <cellStyle name="40% - Accent5 3 2 3 2 2 2 2 3" xfId="23795" xr:uid="{00000000-0005-0000-0000-0000A9370000}"/>
    <cellStyle name="40% - Accent5 3 2 3 2 2 2 3" xfId="10859" xr:uid="{00000000-0005-0000-0000-0000AA370000}"/>
    <cellStyle name="40% - Accent5 3 2 3 2 2 2 4" xfId="21212" xr:uid="{00000000-0005-0000-0000-0000AB370000}"/>
    <cellStyle name="40% - Accent5 3 2 3 2 2 3" xfId="10860" xr:uid="{00000000-0005-0000-0000-0000AC370000}"/>
    <cellStyle name="40% - Accent5 3 2 3 2 2 3 2" xfId="10861" xr:uid="{00000000-0005-0000-0000-0000AD370000}"/>
    <cellStyle name="40% - Accent5 3 2 3 2 2 3 3" xfId="22505" xr:uid="{00000000-0005-0000-0000-0000AE370000}"/>
    <cellStyle name="40% - Accent5 3 2 3 2 2 4" xfId="10862" xr:uid="{00000000-0005-0000-0000-0000AF370000}"/>
    <cellStyle name="40% - Accent5 3 2 3 2 2 5" xfId="19918" xr:uid="{00000000-0005-0000-0000-0000B0370000}"/>
    <cellStyle name="40% - Accent5 3 2 3 2 3" xfId="10863" xr:uid="{00000000-0005-0000-0000-0000B1370000}"/>
    <cellStyle name="40% - Accent5 3 2 3 2 3 2" xfId="10864" xr:uid="{00000000-0005-0000-0000-0000B2370000}"/>
    <cellStyle name="40% - Accent5 3 2 3 2 3 2 2" xfId="10865" xr:uid="{00000000-0005-0000-0000-0000B3370000}"/>
    <cellStyle name="40% - Accent5 3 2 3 2 3 2 3" xfId="23150" xr:uid="{00000000-0005-0000-0000-0000B4370000}"/>
    <cellStyle name="40% - Accent5 3 2 3 2 3 3" xfId="10866" xr:uid="{00000000-0005-0000-0000-0000B5370000}"/>
    <cellStyle name="40% - Accent5 3 2 3 2 3 4" xfId="20567" xr:uid="{00000000-0005-0000-0000-0000B6370000}"/>
    <cellStyle name="40% - Accent5 3 2 3 2 4" xfId="10867" xr:uid="{00000000-0005-0000-0000-0000B7370000}"/>
    <cellStyle name="40% - Accent5 3 2 3 2 4 2" xfId="10868" xr:uid="{00000000-0005-0000-0000-0000B8370000}"/>
    <cellStyle name="40% - Accent5 3 2 3 2 4 3" xfId="21860" xr:uid="{00000000-0005-0000-0000-0000B9370000}"/>
    <cellStyle name="40% - Accent5 3 2 3 2 5" xfId="10869" xr:uid="{00000000-0005-0000-0000-0000BA370000}"/>
    <cellStyle name="40% - Accent5 3 2 3 2 6" xfId="19270" xr:uid="{00000000-0005-0000-0000-0000BB370000}"/>
    <cellStyle name="40% - Accent5 3 2 3 3" xfId="10870" xr:uid="{00000000-0005-0000-0000-0000BC370000}"/>
    <cellStyle name="40% - Accent5 3 2 3 3 2" xfId="10871" xr:uid="{00000000-0005-0000-0000-0000BD370000}"/>
    <cellStyle name="40% - Accent5 3 2 3 3 2 2" xfId="10872" xr:uid="{00000000-0005-0000-0000-0000BE370000}"/>
    <cellStyle name="40% - Accent5 3 2 3 3 2 2 2" xfId="10873" xr:uid="{00000000-0005-0000-0000-0000BF370000}"/>
    <cellStyle name="40% - Accent5 3 2 3 3 2 2 3" xfId="23473" xr:uid="{00000000-0005-0000-0000-0000C0370000}"/>
    <cellStyle name="40% - Accent5 3 2 3 3 2 3" xfId="10874" xr:uid="{00000000-0005-0000-0000-0000C1370000}"/>
    <cellStyle name="40% - Accent5 3 2 3 3 2 4" xfId="20890" xr:uid="{00000000-0005-0000-0000-0000C2370000}"/>
    <cellStyle name="40% - Accent5 3 2 3 3 3" xfId="10875" xr:uid="{00000000-0005-0000-0000-0000C3370000}"/>
    <cellStyle name="40% - Accent5 3 2 3 3 3 2" xfId="10876" xr:uid="{00000000-0005-0000-0000-0000C4370000}"/>
    <cellStyle name="40% - Accent5 3 2 3 3 3 3" xfId="22183" xr:uid="{00000000-0005-0000-0000-0000C5370000}"/>
    <cellStyle name="40% - Accent5 3 2 3 3 4" xfId="10877" xr:uid="{00000000-0005-0000-0000-0000C6370000}"/>
    <cellStyle name="40% - Accent5 3 2 3 3 5" xfId="19596" xr:uid="{00000000-0005-0000-0000-0000C7370000}"/>
    <cellStyle name="40% - Accent5 3 2 3 4" xfId="10878" xr:uid="{00000000-0005-0000-0000-0000C8370000}"/>
    <cellStyle name="40% - Accent5 3 2 3 4 2" xfId="10879" xr:uid="{00000000-0005-0000-0000-0000C9370000}"/>
    <cellStyle name="40% - Accent5 3 2 3 4 2 2" xfId="10880" xr:uid="{00000000-0005-0000-0000-0000CA370000}"/>
    <cellStyle name="40% - Accent5 3 2 3 4 2 3" xfId="22828" xr:uid="{00000000-0005-0000-0000-0000CB370000}"/>
    <cellStyle name="40% - Accent5 3 2 3 4 3" xfId="10881" xr:uid="{00000000-0005-0000-0000-0000CC370000}"/>
    <cellStyle name="40% - Accent5 3 2 3 4 4" xfId="20245" xr:uid="{00000000-0005-0000-0000-0000CD370000}"/>
    <cellStyle name="40% - Accent5 3 2 3 5" xfId="10882" xr:uid="{00000000-0005-0000-0000-0000CE370000}"/>
    <cellStyle name="40% - Accent5 3 2 3 5 2" xfId="10883" xr:uid="{00000000-0005-0000-0000-0000CF370000}"/>
    <cellStyle name="40% - Accent5 3 2 3 5 3" xfId="21538" xr:uid="{00000000-0005-0000-0000-0000D0370000}"/>
    <cellStyle name="40% - Accent5 3 2 3 6" xfId="10884" xr:uid="{00000000-0005-0000-0000-0000D1370000}"/>
    <cellStyle name="40% - Accent5 3 2 3 7" xfId="18944" xr:uid="{00000000-0005-0000-0000-0000D2370000}"/>
    <cellStyle name="40% - Accent5 3 2 4" xfId="10885" xr:uid="{00000000-0005-0000-0000-0000D3370000}"/>
    <cellStyle name="40% - Accent5 3 2 4 2" xfId="10886" xr:uid="{00000000-0005-0000-0000-0000D4370000}"/>
    <cellStyle name="40% - Accent5 3 2 4 2 2" xfId="10887" xr:uid="{00000000-0005-0000-0000-0000D5370000}"/>
    <cellStyle name="40% - Accent5 3 2 4 2 2 2" xfId="10888" xr:uid="{00000000-0005-0000-0000-0000D6370000}"/>
    <cellStyle name="40% - Accent5 3 2 4 2 2 2 2" xfId="10889" xr:uid="{00000000-0005-0000-0000-0000D7370000}"/>
    <cellStyle name="40% - Accent5 3 2 4 2 2 2 3" xfId="23634" xr:uid="{00000000-0005-0000-0000-0000D8370000}"/>
    <cellStyle name="40% - Accent5 3 2 4 2 2 3" xfId="10890" xr:uid="{00000000-0005-0000-0000-0000D9370000}"/>
    <cellStyle name="40% - Accent5 3 2 4 2 2 4" xfId="21051" xr:uid="{00000000-0005-0000-0000-0000DA370000}"/>
    <cellStyle name="40% - Accent5 3 2 4 2 3" xfId="10891" xr:uid="{00000000-0005-0000-0000-0000DB370000}"/>
    <cellStyle name="40% - Accent5 3 2 4 2 3 2" xfId="10892" xr:uid="{00000000-0005-0000-0000-0000DC370000}"/>
    <cellStyle name="40% - Accent5 3 2 4 2 3 3" xfId="22344" xr:uid="{00000000-0005-0000-0000-0000DD370000}"/>
    <cellStyle name="40% - Accent5 3 2 4 2 4" xfId="10893" xr:uid="{00000000-0005-0000-0000-0000DE370000}"/>
    <cellStyle name="40% - Accent5 3 2 4 2 5" xfId="19757" xr:uid="{00000000-0005-0000-0000-0000DF370000}"/>
    <cellStyle name="40% - Accent5 3 2 4 3" xfId="10894" xr:uid="{00000000-0005-0000-0000-0000E0370000}"/>
    <cellStyle name="40% - Accent5 3 2 4 3 2" xfId="10895" xr:uid="{00000000-0005-0000-0000-0000E1370000}"/>
    <cellStyle name="40% - Accent5 3 2 4 3 2 2" xfId="10896" xr:uid="{00000000-0005-0000-0000-0000E2370000}"/>
    <cellStyle name="40% - Accent5 3 2 4 3 2 3" xfId="22989" xr:uid="{00000000-0005-0000-0000-0000E3370000}"/>
    <cellStyle name="40% - Accent5 3 2 4 3 3" xfId="10897" xr:uid="{00000000-0005-0000-0000-0000E4370000}"/>
    <cellStyle name="40% - Accent5 3 2 4 3 4" xfId="20406" xr:uid="{00000000-0005-0000-0000-0000E5370000}"/>
    <cellStyle name="40% - Accent5 3 2 4 4" xfId="10898" xr:uid="{00000000-0005-0000-0000-0000E6370000}"/>
    <cellStyle name="40% - Accent5 3 2 4 4 2" xfId="10899" xr:uid="{00000000-0005-0000-0000-0000E7370000}"/>
    <cellStyle name="40% - Accent5 3 2 4 4 3" xfId="21699" xr:uid="{00000000-0005-0000-0000-0000E8370000}"/>
    <cellStyle name="40% - Accent5 3 2 4 5" xfId="10900" xr:uid="{00000000-0005-0000-0000-0000E9370000}"/>
    <cellStyle name="40% - Accent5 3 2 4 6" xfId="19109" xr:uid="{00000000-0005-0000-0000-0000EA370000}"/>
    <cellStyle name="40% - Accent5 3 2 5" xfId="10901" xr:uid="{00000000-0005-0000-0000-0000EB370000}"/>
    <cellStyle name="40% - Accent5 3 2 5 2" xfId="10902" xr:uid="{00000000-0005-0000-0000-0000EC370000}"/>
    <cellStyle name="40% - Accent5 3 2 5 2 2" xfId="10903" xr:uid="{00000000-0005-0000-0000-0000ED370000}"/>
    <cellStyle name="40% - Accent5 3 2 5 2 2 2" xfId="10904" xr:uid="{00000000-0005-0000-0000-0000EE370000}"/>
    <cellStyle name="40% - Accent5 3 2 5 2 2 3" xfId="23311" xr:uid="{00000000-0005-0000-0000-0000EF370000}"/>
    <cellStyle name="40% - Accent5 3 2 5 2 3" xfId="10905" xr:uid="{00000000-0005-0000-0000-0000F0370000}"/>
    <cellStyle name="40% - Accent5 3 2 5 2 4" xfId="20728" xr:uid="{00000000-0005-0000-0000-0000F1370000}"/>
    <cellStyle name="40% - Accent5 3 2 5 3" xfId="10906" xr:uid="{00000000-0005-0000-0000-0000F2370000}"/>
    <cellStyle name="40% - Accent5 3 2 5 3 2" xfId="10907" xr:uid="{00000000-0005-0000-0000-0000F3370000}"/>
    <cellStyle name="40% - Accent5 3 2 5 3 3" xfId="22021" xr:uid="{00000000-0005-0000-0000-0000F4370000}"/>
    <cellStyle name="40% - Accent5 3 2 5 4" xfId="10908" xr:uid="{00000000-0005-0000-0000-0000F5370000}"/>
    <cellStyle name="40% - Accent5 3 2 5 5" xfId="19435" xr:uid="{00000000-0005-0000-0000-0000F6370000}"/>
    <cellStyle name="40% - Accent5 3 2 6" xfId="10909" xr:uid="{00000000-0005-0000-0000-0000F7370000}"/>
    <cellStyle name="40% - Accent5 3 2 6 2" xfId="10910" xr:uid="{00000000-0005-0000-0000-0000F8370000}"/>
    <cellStyle name="40% - Accent5 3 2 6 2 2" xfId="10911" xr:uid="{00000000-0005-0000-0000-0000F9370000}"/>
    <cellStyle name="40% - Accent5 3 2 6 2 3" xfId="22666" xr:uid="{00000000-0005-0000-0000-0000FA370000}"/>
    <cellStyle name="40% - Accent5 3 2 6 3" xfId="10912" xr:uid="{00000000-0005-0000-0000-0000FB370000}"/>
    <cellStyle name="40% - Accent5 3 2 6 4" xfId="20083" xr:uid="{00000000-0005-0000-0000-0000FC370000}"/>
    <cellStyle name="40% - Accent5 3 2 7" xfId="10913" xr:uid="{00000000-0005-0000-0000-0000FD370000}"/>
    <cellStyle name="40% - Accent5 3 2 7 2" xfId="10914" xr:uid="{00000000-0005-0000-0000-0000FE370000}"/>
    <cellStyle name="40% - Accent5 3 2 7 3" xfId="21376" xr:uid="{00000000-0005-0000-0000-0000FF370000}"/>
    <cellStyle name="40% - Accent5 3 2 8" xfId="10915" xr:uid="{00000000-0005-0000-0000-000000380000}"/>
    <cellStyle name="40% - Accent5 3 2 9" xfId="18762" xr:uid="{00000000-0005-0000-0000-000001380000}"/>
    <cellStyle name="40% - Accent5 3 3" xfId="10916" xr:uid="{00000000-0005-0000-0000-000002380000}"/>
    <cellStyle name="40% - Accent5 3 3 2" xfId="10917" xr:uid="{00000000-0005-0000-0000-000003380000}"/>
    <cellStyle name="40% - Accent5 3 3 2 2" xfId="10918" xr:uid="{00000000-0005-0000-0000-000004380000}"/>
    <cellStyle name="40% - Accent5 3 3 2 2 2" xfId="10919" xr:uid="{00000000-0005-0000-0000-000005380000}"/>
    <cellStyle name="40% - Accent5 3 3 2 2 2 2" xfId="10920" xr:uid="{00000000-0005-0000-0000-000006380000}"/>
    <cellStyle name="40% - Accent5 3 3 2 2 2 2 2" xfId="10921" xr:uid="{00000000-0005-0000-0000-000007380000}"/>
    <cellStyle name="40% - Accent5 3 3 2 2 2 2 2 2" xfId="10922" xr:uid="{00000000-0005-0000-0000-000008380000}"/>
    <cellStyle name="40% - Accent5 3 3 2 2 2 2 2 3" xfId="23835" xr:uid="{00000000-0005-0000-0000-000009380000}"/>
    <cellStyle name="40% - Accent5 3 3 2 2 2 2 3" xfId="10923" xr:uid="{00000000-0005-0000-0000-00000A380000}"/>
    <cellStyle name="40% - Accent5 3 3 2 2 2 2 4" xfId="21252" xr:uid="{00000000-0005-0000-0000-00000B380000}"/>
    <cellStyle name="40% - Accent5 3 3 2 2 2 3" xfId="10924" xr:uid="{00000000-0005-0000-0000-00000C380000}"/>
    <cellStyle name="40% - Accent5 3 3 2 2 2 3 2" xfId="10925" xr:uid="{00000000-0005-0000-0000-00000D380000}"/>
    <cellStyle name="40% - Accent5 3 3 2 2 2 3 3" xfId="22545" xr:uid="{00000000-0005-0000-0000-00000E380000}"/>
    <cellStyle name="40% - Accent5 3 3 2 2 2 4" xfId="10926" xr:uid="{00000000-0005-0000-0000-00000F380000}"/>
    <cellStyle name="40% - Accent5 3 3 2 2 2 5" xfId="19958" xr:uid="{00000000-0005-0000-0000-000010380000}"/>
    <cellStyle name="40% - Accent5 3 3 2 2 3" xfId="10927" xr:uid="{00000000-0005-0000-0000-000011380000}"/>
    <cellStyle name="40% - Accent5 3 3 2 2 3 2" xfId="10928" xr:uid="{00000000-0005-0000-0000-000012380000}"/>
    <cellStyle name="40% - Accent5 3 3 2 2 3 2 2" xfId="10929" xr:uid="{00000000-0005-0000-0000-000013380000}"/>
    <cellStyle name="40% - Accent5 3 3 2 2 3 2 3" xfId="23190" xr:uid="{00000000-0005-0000-0000-000014380000}"/>
    <cellStyle name="40% - Accent5 3 3 2 2 3 3" xfId="10930" xr:uid="{00000000-0005-0000-0000-000015380000}"/>
    <cellStyle name="40% - Accent5 3 3 2 2 3 4" xfId="20607" xr:uid="{00000000-0005-0000-0000-000016380000}"/>
    <cellStyle name="40% - Accent5 3 3 2 2 4" xfId="10931" xr:uid="{00000000-0005-0000-0000-000017380000}"/>
    <cellStyle name="40% - Accent5 3 3 2 2 4 2" xfId="10932" xr:uid="{00000000-0005-0000-0000-000018380000}"/>
    <cellStyle name="40% - Accent5 3 3 2 2 4 3" xfId="21900" xr:uid="{00000000-0005-0000-0000-000019380000}"/>
    <cellStyle name="40% - Accent5 3 3 2 2 5" xfId="10933" xr:uid="{00000000-0005-0000-0000-00001A380000}"/>
    <cellStyle name="40% - Accent5 3 3 2 2 6" xfId="19310" xr:uid="{00000000-0005-0000-0000-00001B380000}"/>
    <cellStyle name="40% - Accent5 3 3 2 3" xfId="10934" xr:uid="{00000000-0005-0000-0000-00001C380000}"/>
    <cellStyle name="40% - Accent5 3 3 2 3 2" xfId="10935" xr:uid="{00000000-0005-0000-0000-00001D380000}"/>
    <cellStyle name="40% - Accent5 3 3 2 3 2 2" xfId="10936" xr:uid="{00000000-0005-0000-0000-00001E380000}"/>
    <cellStyle name="40% - Accent5 3 3 2 3 2 2 2" xfId="10937" xr:uid="{00000000-0005-0000-0000-00001F380000}"/>
    <cellStyle name="40% - Accent5 3 3 2 3 2 2 3" xfId="23513" xr:uid="{00000000-0005-0000-0000-000020380000}"/>
    <cellStyle name="40% - Accent5 3 3 2 3 2 3" xfId="10938" xr:uid="{00000000-0005-0000-0000-000021380000}"/>
    <cellStyle name="40% - Accent5 3 3 2 3 2 4" xfId="20930" xr:uid="{00000000-0005-0000-0000-000022380000}"/>
    <cellStyle name="40% - Accent5 3 3 2 3 3" xfId="10939" xr:uid="{00000000-0005-0000-0000-000023380000}"/>
    <cellStyle name="40% - Accent5 3 3 2 3 3 2" xfId="10940" xr:uid="{00000000-0005-0000-0000-000024380000}"/>
    <cellStyle name="40% - Accent5 3 3 2 3 3 3" xfId="22223" xr:uid="{00000000-0005-0000-0000-000025380000}"/>
    <cellStyle name="40% - Accent5 3 3 2 3 4" xfId="10941" xr:uid="{00000000-0005-0000-0000-000026380000}"/>
    <cellStyle name="40% - Accent5 3 3 2 3 5" xfId="19636" xr:uid="{00000000-0005-0000-0000-000027380000}"/>
    <cellStyle name="40% - Accent5 3 3 2 4" xfId="10942" xr:uid="{00000000-0005-0000-0000-000028380000}"/>
    <cellStyle name="40% - Accent5 3 3 2 4 2" xfId="10943" xr:uid="{00000000-0005-0000-0000-000029380000}"/>
    <cellStyle name="40% - Accent5 3 3 2 4 2 2" xfId="10944" xr:uid="{00000000-0005-0000-0000-00002A380000}"/>
    <cellStyle name="40% - Accent5 3 3 2 4 2 3" xfId="22868" xr:uid="{00000000-0005-0000-0000-00002B380000}"/>
    <cellStyle name="40% - Accent5 3 3 2 4 3" xfId="10945" xr:uid="{00000000-0005-0000-0000-00002C380000}"/>
    <cellStyle name="40% - Accent5 3 3 2 4 4" xfId="20285" xr:uid="{00000000-0005-0000-0000-00002D380000}"/>
    <cellStyle name="40% - Accent5 3 3 2 5" xfId="10946" xr:uid="{00000000-0005-0000-0000-00002E380000}"/>
    <cellStyle name="40% - Accent5 3 3 2 5 2" xfId="10947" xr:uid="{00000000-0005-0000-0000-00002F380000}"/>
    <cellStyle name="40% - Accent5 3 3 2 5 3" xfId="21578" xr:uid="{00000000-0005-0000-0000-000030380000}"/>
    <cellStyle name="40% - Accent5 3 3 2 6" xfId="10948" xr:uid="{00000000-0005-0000-0000-000031380000}"/>
    <cellStyle name="40% - Accent5 3 3 2 7" xfId="18984" xr:uid="{00000000-0005-0000-0000-000032380000}"/>
    <cellStyle name="40% - Accent5 3 3 3" xfId="10949" xr:uid="{00000000-0005-0000-0000-000033380000}"/>
    <cellStyle name="40% - Accent5 3 3 3 2" xfId="10950" xr:uid="{00000000-0005-0000-0000-000034380000}"/>
    <cellStyle name="40% - Accent5 3 3 3 2 2" xfId="10951" xr:uid="{00000000-0005-0000-0000-000035380000}"/>
    <cellStyle name="40% - Accent5 3 3 3 2 2 2" xfId="10952" xr:uid="{00000000-0005-0000-0000-000036380000}"/>
    <cellStyle name="40% - Accent5 3 3 3 2 2 2 2" xfId="10953" xr:uid="{00000000-0005-0000-0000-000037380000}"/>
    <cellStyle name="40% - Accent5 3 3 3 2 2 2 3" xfId="23674" xr:uid="{00000000-0005-0000-0000-000038380000}"/>
    <cellStyle name="40% - Accent5 3 3 3 2 2 3" xfId="10954" xr:uid="{00000000-0005-0000-0000-000039380000}"/>
    <cellStyle name="40% - Accent5 3 3 3 2 2 4" xfId="21091" xr:uid="{00000000-0005-0000-0000-00003A380000}"/>
    <cellStyle name="40% - Accent5 3 3 3 2 3" xfId="10955" xr:uid="{00000000-0005-0000-0000-00003B380000}"/>
    <cellStyle name="40% - Accent5 3 3 3 2 3 2" xfId="10956" xr:uid="{00000000-0005-0000-0000-00003C380000}"/>
    <cellStyle name="40% - Accent5 3 3 3 2 3 3" xfId="22384" xr:uid="{00000000-0005-0000-0000-00003D380000}"/>
    <cellStyle name="40% - Accent5 3 3 3 2 4" xfId="10957" xr:uid="{00000000-0005-0000-0000-00003E380000}"/>
    <cellStyle name="40% - Accent5 3 3 3 2 5" xfId="19797" xr:uid="{00000000-0005-0000-0000-00003F380000}"/>
    <cellStyle name="40% - Accent5 3 3 3 3" xfId="10958" xr:uid="{00000000-0005-0000-0000-000040380000}"/>
    <cellStyle name="40% - Accent5 3 3 3 3 2" xfId="10959" xr:uid="{00000000-0005-0000-0000-000041380000}"/>
    <cellStyle name="40% - Accent5 3 3 3 3 2 2" xfId="10960" xr:uid="{00000000-0005-0000-0000-000042380000}"/>
    <cellStyle name="40% - Accent5 3 3 3 3 2 3" xfId="23029" xr:uid="{00000000-0005-0000-0000-000043380000}"/>
    <cellStyle name="40% - Accent5 3 3 3 3 3" xfId="10961" xr:uid="{00000000-0005-0000-0000-000044380000}"/>
    <cellStyle name="40% - Accent5 3 3 3 3 4" xfId="20446" xr:uid="{00000000-0005-0000-0000-000045380000}"/>
    <cellStyle name="40% - Accent5 3 3 3 4" xfId="10962" xr:uid="{00000000-0005-0000-0000-000046380000}"/>
    <cellStyle name="40% - Accent5 3 3 3 4 2" xfId="10963" xr:uid="{00000000-0005-0000-0000-000047380000}"/>
    <cellStyle name="40% - Accent5 3 3 3 4 3" xfId="21739" xr:uid="{00000000-0005-0000-0000-000048380000}"/>
    <cellStyle name="40% - Accent5 3 3 3 5" xfId="10964" xr:uid="{00000000-0005-0000-0000-000049380000}"/>
    <cellStyle name="40% - Accent5 3 3 3 6" xfId="19149" xr:uid="{00000000-0005-0000-0000-00004A380000}"/>
    <cellStyle name="40% - Accent5 3 3 4" xfId="10965" xr:uid="{00000000-0005-0000-0000-00004B380000}"/>
    <cellStyle name="40% - Accent5 3 3 4 2" xfId="10966" xr:uid="{00000000-0005-0000-0000-00004C380000}"/>
    <cellStyle name="40% - Accent5 3 3 4 2 2" xfId="10967" xr:uid="{00000000-0005-0000-0000-00004D380000}"/>
    <cellStyle name="40% - Accent5 3 3 4 2 2 2" xfId="10968" xr:uid="{00000000-0005-0000-0000-00004E380000}"/>
    <cellStyle name="40% - Accent5 3 3 4 2 2 3" xfId="23352" xr:uid="{00000000-0005-0000-0000-00004F380000}"/>
    <cellStyle name="40% - Accent5 3 3 4 2 3" xfId="10969" xr:uid="{00000000-0005-0000-0000-000050380000}"/>
    <cellStyle name="40% - Accent5 3 3 4 2 4" xfId="20769" xr:uid="{00000000-0005-0000-0000-000051380000}"/>
    <cellStyle name="40% - Accent5 3 3 4 3" xfId="10970" xr:uid="{00000000-0005-0000-0000-000052380000}"/>
    <cellStyle name="40% - Accent5 3 3 4 3 2" xfId="10971" xr:uid="{00000000-0005-0000-0000-000053380000}"/>
    <cellStyle name="40% - Accent5 3 3 4 3 3" xfId="22062" xr:uid="{00000000-0005-0000-0000-000054380000}"/>
    <cellStyle name="40% - Accent5 3 3 4 4" xfId="10972" xr:uid="{00000000-0005-0000-0000-000055380000}"/>
    <cellStyle name="40% - Accent5 3 3 4 5" xfId="19475" xr:uid="{00000000-0005-0000-0000-000056380000}"/>
    <cellStyle name="40% - Accent5 3 3 5" xfId="10973" xr:uid="{00000000-0005-0000-0000-000057380000}"/>
    <cellStyle name="40% - Accent5 3 3 5 2" xfId="10974" xr:uid="{00000000-0005-0000-0000-000058380000}"/>
    <cellStyle name="40% - Accent5 3 3 5 2 2" xfId="10975" xr:uid="{00000000-0005-0000-0000-000059380000}"/>
    <cellStyle name="40% - Accent5 3 3 5 2 3" xfId="22707" xr:uid="{00000000-0005-0000-0000-00005A380000}"/>
    <cellStyle name="40% - Accent5 3 3 5 3" xfId="10976" xr:uid="{00000000-0005-0000-0000-00005B380000}"/>
    <cellStyle name="40% - Accent5 3 3 5 4" xfId="20124" xr:uid="{00000000-0005-0000-0000-00005C380000}"/>
    <cellStyle name="40% - Accent5 3 3 6" xfId="10977" xr:uid="{00000000-0005-0000-0000-00005D380000}"/>
    <cellStyle name="40% - Accent5 3 3 6 2" xfId="10978" xr:uid="{00000000-0005-0000-0000-00005E380000}"/>
    <cellStyle name="40% - Accent5 3 3 6 3" xfId="21417" xr:uid="{00000000-0005-0000-0000-00005F380000}"/>
    <cellStyle name="40% - Accent5 3 3 7" xfId="10979" xr:uid="{00000000-0005-0000-0000-000060380000}"/>
    <cellStyle name="40% - Accent5 3 3 8" xfId="18817" xr:uid="{00000000-0005-0000-0000-000061380000}"/>
    <cellStyle name="40% - Accent5 3 4" xfId="10980" xr:uid="{00000000-0005-0000-0000-000062380000}"/>
    <cellStyle name="40% - Accent5 3 4 2" xfId="10981" xr:uid="{00000000-0005-0000-0000-000063380000}"/>
    <cellStyle name="40% - Accent5 3 4 2 2" xfId="10982" xr:uid="{00000000-0005-0000-0000-000064380000}"/>
    <cellStyle name="40% - Accent5 3 4 2 2 2" xfId="10983" xr:uid="{00000000-0005-0000-0000-000065380000}"/>
    <cellStyle name="40% - Accent5 3 4 2 2 2 2" xfId="10984" xr:uid="{00000000-0005-0000-0000-000066380000}"/>
    <cellStyle name="40% - Accent5 3 4 2 2 2 2 2" xfId="10985" xr:uid="{00000000-0005-0000-0000-000067380000}"/>
    <cellStyle name="40% - Accent5 3 4 2 2 2 2 3" xfId="23755" xr:uid="{00000000-0005-0000-0000-000068380000}"/>
    <cellStyle name="40% - Accent5 3 4 2 2 2 3" xfId="10986" xr:uid="{00000000-0005-0000-0000-000069380000}"/>
    <cellStyle name="40% - Accent5 3 4 2 2 2 4" xfId="21172" xr:uid="{00000000-0005-0000-0000-00006A380000}"/>
    <cellStyle name="40% - Accent5 3 4 2 2 3" xfId="10987" xr:uid="{00000000-0005-0000-0000-00006B380000}"/>
    <cellStyle name="40% - Accent5 3 4 2 2 3 2" xfId="10988" xr:uid="{00000000-0005-0000-0000-00006C380000}"/>
    <cellStyle name="40% - Accent5 3 4 2 2 3 3" xfId="22465" xr:uid="{00000000-0005-0000-0000-00006D380000}"/>
    <cellStyle name="40% - Accent5 3 4 2 2 4" xfId="10989" xr:uid="{00000000-0005-0000-0000-00006E380000}"/>
    <cellStyle name="40% - Accent5 3 4 2 2 5" xfId="19878" xr:uid="{00000000-0005-0000-0000-00006F380000}"/>
    <cellStyle name="40% - Accent5 3 4 2 3" xfId="10990" xr:uid="{00000000-0005-0000-0000-000070380000}"/>
    <cellStyle name="40% - Accent5 3 4 2 3 2" xfId="10991" xr:uid="{00000000-0005-0000-0000-000071380000}"/>
    <cellStyle name="40% - Accent5 3 4 2 3 2 2" xfId="10992" xr:uid="{00000000-0005-0000-0000-000072380000}"/>
    <cellStyle name="40% - Accent5 3 4 2 3 2 3" xfId="23110" xr:uid="{00000000-0005-0000-0000-000073380000}"/>
    <cellStyle name="40% - Accent5 3 4 2 3 3" xfId="10993" xr:uid="{00000000-0005-0000-0000-000074380000}"/>
    <cellStyle name="40% - Accent5 3 4 2 3 4" xfId="20527" xr:uid="{00000000-0005-0000-0000-000075380000}"/>
    <cellStyle name="40% - Accent5 3 4 2 4" xfId="10994" xr:uid="{00000000-0005-0000-0000-000076380000}"/>
    <cellStyle name="40% - Accent5 3 4 2 4 2" xfId="10995" xr:uid="{00000000-0005-0000-0000-000077380000}"/>
    <cellStyle name="40% - Accent5 3 4 2 4 3" xfId="21820" xr:uid="{00000000-0005-0000-0000-000078380000}"/>
    <cellStyle name="40% - Accent5 3 4 2 5" xfId="10996" xr:uid="{00000000-0005-0000-0000-000079380000}"/>
    <cellStyle name="40% - Accent5 3 4 2 6" xfId="19230" xr:uid="{00000000-0005-0000-0000-00007A380000}"/>
    <cellStyle name="40% - Accent5 3 4 3" xfId="10997" xr:uid="{00000000-0005-0000-0000-00007B380000}"/>
    <cellStyle name="40% - Accent5 3 4 3 2" xfId="10998" xr:uid="{00000000-0005-0000-0000-00007C380000}"/>
    <cellStyle name="40% - Accent5 3 4 3 2 2" xfId="10999" xr:uid="{00000000-0005-0000-0000-00007D380000}"/>
    <cellStyle name="40% - Accent5 3 4 3 2 2 2" xfId="11000" xr:uid="{00000000-0005-0000-0000-00007E380000}"/>
    <cellStyle name="40% - Accent5 3 4 3 2 2 3" xfId="23433" xr:uid="{00000000-0005-0000-0000-00007F380000}"/>
    <cellStyle name="40% - Accent5 3 4 3 2 3" xfId="11001" xr:uid="{00000000-0005-0000-0000-000080380000}"/>
    <cellStyle name="40% - Accent5 3 4 3 2 4" xfId="20850" xr:uid="{00000000-0005-0000-0000-000081380000}"/>
    <cellStyle name="40% - Accent5 3 4 3 3" xfId="11002" xr:uid="{00000000-0005-0000-0000-000082380000}"/>
    <cellStyle name="40% - Accent5 3 4 3 3 2" xfId="11003" xr:uid="{00000000-0005-0000-0000-000083380000}"/>
    <cellStyle name="40% - Accent5 3 4 3 3 3" xfId="22143" xr:uid="{00000000-0005-0000-0000-000084380000}"/>
    <cellStyle name="40% - Accent5 3 4 3 4" xfId="11004" xr:uid="{00000000-0005-0000-0000-000085380000}"/>
    <cellStyle name="40% - Accent5 3 4 3 5" xfId="19556" xr:uid="{00000000-0005-0000-0000-000086380000}"/>
    <cellStyle name="40% - Accent5 3 4 4" xfId="11005" xr:uid="{00000000-0005-0000-0000-000087380000}"/>
    <cellStyle name="40% - Accent5 3 4 4 2" xfId="11006" xr:uid="{00000000-0005-0000-0000-000088380000}"/>
    <cellStyle name="40% - Accent5 3 4 4 2 2" xfId="11007" xr:uid="{00000000-0005-0000-0000-000089380000}"/>
    <cellStyle name="40% - Accent5 3 4 4 2 3" xfId="22788" xr:uid="{00000000-0005-0000-0000-00008A380000}"/>
    <cellStyle name="40% - Accent5 3 4 4 3" xfId="11008" xr:uid="{00000000-0005-0000-0000-00008B380000}"/>
    <cellStyle name="40% - Accent5 3 4 4 4" xfId="20205" xr:uid="{00000000-0005-0000-0000-00008C380000}"/>
    <cellStyle name="40% - Accent5 3 4 5" xfId="11009" xr:uid="{00000000-0005-0000-0000-00008D380000}"/>
    <cellStyle name="40% - Accent5 3 4 5 2" xfId="11010" xr:uid="{00000000-0005-0000-0000-00008E380000}"/>
    <cellStyle name="40% - Accent5 3 4 5 3" xfId="21498" xr:uid="{00000000-0005-0000-0000-00008F380000}"/>
    <cellStyle name="40% - Accent5 3 4 6" xfId="11011" xr:uid="{00000000-0005-0000-0000-000090380000}"/>
    <cellStyle name="40% - Accent5 3 4 7" xfId="18904" xr:uid="{00000000-0005-0000-0000-000091380000}"/>
    <cellStyle name="40% - Accent5 3 5" xfId="11012" xr:uid="{00000000-0005-0000-0000-000092380000}"/>
    <cellStyle name="40% - Accent5 3 5 2" xfId="11013" xr:uid="{00000000-0005-0000-0000-000093380000}"/>
    <cellStyle name="40% - Accent5 3 5 2 2" xfId="11014" xr:uid="{00000000-0005-0000-0000-000094380000}"/>
    <cellStyle name="40% - Accent5 3 5 2 2 2" xfId="11015" xr:uid="{00000000-0005-0000-0000-000095380000}"/>
    <cellStyle name="40% - Accent5 3 5 2 2 2 2" xfId="11016" xr:uid="{00000000-0005-0000-0000-000096380000}"/>
    <cellStyle name="40% - Accent5 3 5 2 2 2 3" xfId="23594" xr:uid="{00000000-0005-0000-0000-000097380000}"/>
    <cellStyle name="40% - Accent5 3 5 2 2 3" xfId="11017" xr:uid="{00000000-0005-0000-0000-000098380000}"/>
    <cellStyle name="40% - Accent5 3 5 2 2 4" xfId="21011" xr:uid="{00000000-0005-0000-0000-000099380000}"/>
    <cellStyle name="40% - Accent5 3 5 2 3" xfId="11018" xr:uid="{00000000-0005-0000-0000-00009A380000}"/>
    <cellStyle name="40% - Accent5 3 5 2 3 2" xfId="11019" xr:uid="{00000000-0005-0000-0000-00009B380000}"/>
    <cellStyle name="40% - Accent5 3 5 2 3 3" xfId="22304" xr:uid="{00000000-0005-0000-0000-00009C380000}"/>
    <cellStyle name="40% - Accent5 3 5 2 4" xfId="11020" xr:uid="{00000000-0005-0000-0000-00009D380000}"/>
    <cellStyle name="40% - Accent5 3 5 2 5" xfId="19717" xr:uid="{00000000-0005-0000-0000-00009E380000}"/>
    <cellStyle name="40% - Accent5 3 5 3" xfId="11021" xr:uid="{00000000-0005-0000-0000-00009F380000}"/>
    <cellStyle name="40% - Accent5 3 5 3 2" xfId="11022" xr:uid="{00000000-0005-0000-0000-0000A0380000}"/>
    <cellStyle name="40% - Accent5 3 5 3 2 2" xfId="11023" xr:uid="{00000000-0005-0000-0000-0000A1380000}"/>
    <cellStyle name="40% - Accent5 3 5 3 2 3" xfId="22949" xr:uid="{00000000-0005-0000-0000-0000A2380000}"/>
    <cellStyle name="40% - Accent5 3 5 3 3" xfId="11024" xr:uid="{00000000-0005-0000-0000-0000A3380000}"/>
    <cellStyle name="40% - Accent5 3 5 3 4" xfId="20366" xr:uid="{00000000-0005-0000-0000-0000A4380000}"/>
    <cellStyle name="40% - Accent5 3 5 4" xfId="11025" xr:uid="{00000000-0005-0000-0000-0000A5380000}"/>
    <cellStyle name="40% - Accent5 3 5 4 2" xfId="11026" xr:uid="{00000000-0005-0000-0000-0000A6380000}"/>
    <cellStyle name="40% - Accent5 3 5 4 3" xfId="21659" xr:uid="{00000000-0005-0000-0000-0000A7380000}"/>
    <cellStyle name="40% - Accent5 3 5 5" xfId="11027" xr:uid="{00000000-0005-0000-0000-0000A8380000}"/>
    <cellStyle name="40% - Accent5 3 5 6" xfId="19069" xr:uid="{00000000-0005-0000-0000-0000A9380000}"/>
    <cellStyle name="40% - Accent5 3 6" xfId="11028" xr:uid="{00000000-0005-0000-0000-0000AA380000}"/>
    <cellStyle name="40% - Accent5 3 6 2" xfId="11029" xr:uid="{00000000-0005-0000-0000-0000AB380000}"/>
    <cellStyle name="40% - Accent5 3 6 2 2" xfId="11030" xr:uid="{00000000-0005-0000-0000-0000AC380000}"/>
    <cellStyle name="40% - Accent5 3 6 2 2 2" xfId="11031" xr:uid="{00000000-0005-0000-0000-0000AD380000}"/>
    <cellStyle name="40% - Accent5 3 6 2 2 3" xfId="23271" xr:uid="{00000000-0005-0000-0000-0000AE380000}"/>
    <cellStyle name="40% - Accent5 3 6 2 3" xfId="11032" xr:uid="{00000000-0005-0000-0000-0000AF380000}"/>
    <cellStyle name="40% - Accent5 3 6 2 4" xfId="20688" xr:uid="{00000000-0005-0000-0000-0000B0380000}"/>
    <cellStyle name="40% - Accent5 3 6 3" xfId="11033" xr:uid="{00000000-0005-0000-0000-0000B1380000}"/>
    <cellStyle name="40% - Accent5 3 6 3 2" xfId="11034" xr:uid="{00000000-0005-0000-0000-0000B2380000}"/>
    <cellStyle name="40% - Accent5 3 6 3 3" xfId="21981" xr:uid="{00000000-0005-0000-0000-0000B3380000}"/>
    <cellStyle name="40% - Accent5 3 6 4" xfId="11035" xr:uid="{00000000-0005-0000-0000-0000B4380000}"/>
    <cellStyle name="40% - Accent5 3 6 5" xfId="19395" xr:uid="{00000000-0005-0000-0000-0000B5380000}"/>
    <cellStyle name="40% - Accent5 3 7" xfId="11036" xr:uid="{00000000-0005-0000-0000-0000B6380000}"/>
    <cellStyle name="40% - Accent5 3 7 2" xfId="11037" xr:uid="{00000000-0005-0000-0000-0000B7380000}"/>
    <cellStyle name="40% - Accent5 3 7 2 2" xfId="11038" xr:uid="{00000000-0005-0000-0000-0000B8380000}"/>
    <cellStyle name="40% - Accent5 3 7 2 3" xfId="22626" xr:uid="{00000000-0005-0000-0000-0000B9380000}"/>
    <cellStyle name="40% - Accent5 3 7 3" xfId="11039" xr:uid="{00000000-0005-0000-0000-0000BA380000}"/>
    <cellStyle name="40% - Accent5 3 7 4" xfId="20043" xr:uid="{00000000-0005-0000-0000-0000BB380000}"/>
    <cellStyle name="40% - Accent5 3 8" xfId="11040" xr:uid="{00000000-0005-0000-0000-0000BC380000}"/>
    <cellStyle name="40% - Accent5 3 8 2" xfId="11041" xr:uid="{00000000-0005-0000-0000-0000BD380000}"/>
    <cellStyle name="40% - Accent5 3 8 3" xfId="21336" xr:uid="{00000000-0005-0000-0000-0000BE380000}"/>
    <cellStyle name="40% - Accent5 3 9" xfId="11042" xr:uid="{00000000-0005-0000-0000-0000BF380000}"/>
    <cellStyle name="40% - Accent5 4" xfId="11043" xr:uid="{00000000-0005-0000-0000-0000C0380000}"/>
    <cellStyle name="40% - Accent5 4 2" xfId="11044" xr:uid="{00000000-0005-0000-0000-0000C1380000}"/>
    <cellStyle name="40% - Accent5 4 2 2" xfId="11045" xr:uid="{00000000-0005-0000-0000-0000C2380000}"/>
    <cellStyle name="40% - Accent5 4 2 2 2" xfId="11046" xr:uid="{00000000-0005-0000-0000-0000C3380000}"/>
    <cellStyle name="40% - Accent5 4 2 2 2 2" xfId="11047" xr:uid="{00000000-0005-0000-0000-0000C4380000}"/>
    <cellStyle name="40% - Accent5 4 2 2 2 2 2" xfId="11048" xr:uid="{00000000-0005-0000-0000-0000C5380000}"/>
    <cellStyle name="40% - Accent5 4 2 2 2 2 2 2" xfId="11049" xr:uid="{00000000-0005-0000-0000-0000C6380000}"/>
    <cellStyle name="40% - Accent5 4 2 2 2 2 2 2 2" xfId="11050" xr:uid="{00000000-0005-0000-0000-0000C7380000}"/>
    <cellStyle name="40% - Accent5 4 2 2 2 2 2 2 3" xfId="23855" xr:uid="{00000000-0005-0000-0000-0000C8380000}"/>
    <cellStyle name="40% - Accent5 4 2 2 2 2 2 3" xfId="11051" xr:uid="{00000000-0005-0000-0000-0000C9380000}"/>
    <cellStyle name="40% - Accent5 4 2 2 2 2 2 4" xfId="21272" xr:uid="{00000000-0005-0000-0000-0000CA380000}"/>
    <cellStyle name="40% - Accent5 4 2 2 2 2 3" xfId="11052" xr:uid="{00000000-0005-0000-0000-0000CB380000}"/>
    <cellStyle name="40% - Accent5 4 2 2 2 2 3 2" xfId="11053" xr:uid="{00000000-0005-0000-0000-0000CC380000}"/>
    <cellStyle name="40% - Accent5 4 2 2 2 2 3 3" xfId="22565" xr:uid="{00000000-0005-0000-0000-0000CD380000}"/>
    <cellStyle name="40% - Accent5 4 2 2 2 2 4" xfId="11054" xr:uid="{00000000-0005-0000-0000-0000CE380000}"/>
    <cellStyle name="40% - Accent5 4 2 2 2 2 5" xfId="19978" xr:uid="{00000000-0005-0000-0000-0000CF380000}"/>
    <cellStyle name="40% - Accent5 4 2 2 2 3" xfId="11055" xr:uid="{00000000-0005-0000-0000-0000D0380000}"/>
    <cellStyle name="40% - Accent5 4 2 2 2 3 2" xfId="11056" xr:uid="{00000000-0005-0000-0000-0000D1380000}"/>
    <cellStyle name="40% - Accent5 4 2 2 2 3 2 2" xfId="11057" xr:uid="{00000000-0005-0000-0000-0000D2380000}"/>
    <cellStyle name="40% - Accent5 4 2 2 2 3 2 3" xfId="23210" xr:uid="{00000000-0005-0000-0000-0000D3380000}"/>
    <cellStyle name="40% - Accent5 4 2 2 2 3 3" xfId="11058" xr:uid="{00000000-0005-0000-0000-0000D4380000}"/>
    <cellStyle name="40% - Accent5 4 2 2 2 3 4" xfId="20627" xr:uid="{00000000-0005-0000-0000-0000D5380000}"/>
    <cellStyle name="40% - Accent5 4 2 2 2 4" xfId="11059" xr:uid="{00000000-0005-0000-0000-0000D6380000}"/>
    <cellStyle name="40% - Accent5 4 2 2 2 4 2" xfId="11060" xr:uid="{00000000-0005-0000-0000-0000D7380000}"/>
    <cellStyle name="40% - Accent5 4 2 2 2 4 3" xfId="21920" xr:uid="{00000000-0005-0000-0000-0000D8380000}"/>
    <cellStyle name="40% - Accent5 4 2 2 2 5" xfId="11061" xr:uid="{00000000-0005-0000-0000-0000D9380000}"/>
    <cellStyle name="40% - Accent5 4 2 2 2 6" xfId="19330" xr:uid="{00000000-0005-0000-0000-0000DA380000}"/>
    <cellStyle name="40% - Accent5 4 2 2 3" xfId="11062" xr:uid="{00000000-0005-0000-0000-0000DB380000}"/>
    <cellStyle name="40% - Accent5 4 2 2 3 2" xfId="11063" xr:uid="{00000000-0005-0000-0000-0000DC380000}"/>
    <cellStyle name="40% - Accent5 4 2 2 3 2 2" xfId="11064" xr:uid="{00000000-0005-0000-0000-0000DD380000}"/>
    <cellStyle name="40% - Accent5 4 2 2 3 2 2 2" xfId="11065" xr:uid="{00000000-0005-0000-0000-0000DE380000}"/>
    <cellStyle name="40% - Accent5 4 2 2 3 2 2 3" xfId="23533" xr:uid="{00000000-0005-0000-0000-0000DF380000}"/>
    <cellStyle name="40% - Accent5 4 2 2 3 2 3" xfId="11066" xr:uid="{00000000-0005-0000-0000-0000E0380000}"/>
    <cellStyle name="40% - Accent5 4 2 2 3 2 4" xfId="20950" xr:uid="{00000000-0005-0000-0000-0000E1380000}"/>
    <cellStyle name="40% - Accent5 4 2 2 3 3" xfId="11067" xr:uid="{00000000-0005-0000-0000-0000E2380000}"/>
    <cellStyle name="40% - Accent5 4 2 2 3 3 2" xfId="11068" xr:uid="{00000000-0005-0000-0000-0000E3380000}"/>
    <cellStyle name="40% - Accent5 4 2 2 3 3 3" xfId="22243" xr:uid="{00000000-0005-0000-0000-0000E4380000}"/>
    <cellStyle name="40% - Accent5 4 2 2 3 4" xfId="11069" xr:uid="{00000000-0005-0000-0000-0000E5380000}"/>
    <cellStyle name="40% - Accent5 4 2 2 3 5" xfId="19656" xr:uid="{00000000-0005-0000-0000-0000E6380000}"/>
    <cellStyle name="40% - Accent5 4 2 2 4" xfId="11070" xr:uid="{00000000-0005-0000-0000-0000E7380000}"/>
    <cellStyle name="40% - Accent5 4 2 2 4 2" xfId="11071" xr:uid="{00000000-0005-0000-0000-0000E8380000}"/>
    <cellStyle name="40% - Accent5 4 2 2 4 2 2" xfId="11072" xr:uid="{00000000-0005-0000-0000-0000E9380000}"/>
    <cellStyle name="40% - Accent5 4 2 2 4 2 3" xfId="22888" xr:uid="{00000000-0005-0000-0000-0000EA380000}"/>
    <cellStyle name="40% - Accent5 4 2 2 4 3" xfId="11073" xr:uid="{00000000-0005-0000-0000-0000EB380000}"/>
    <cellStyle name="40% - Accent5 4 2 2 4 4" xfId="20305" xr:uid="{00000000-0005-0000-0000-0000EC380000}"/>
    <cellStyle name="40% - Accent5 4 2 2 5" xfId="11074" xr:uid="{00000000-0005-0000-0000-0000ED380000}"/>
    <cellStyle name="40% - Accent5 4 2 2 5 2" xfId="11075" xr:uid="{00000000-0005-0000-0000-0000EE380000}"/>
    <cellStyle name="40% - Accent5 4 2 2 5 3" xfId="21598" xr:uid="{00000000-0005-0000-0000-0000EF380000}"/>
    <cellStyle name="40% - Accent5 4 2 2 6" xfId="11076" xr:uid="{00000000-0005-0000-0000-0000F0380000}"/>
    <cellStyle name="40% - Accent5 4 2 2 7" xfId="19004" xr:uid="{00000000-0005-0000-0000-0000F1380000}"/>
    <cellStyle name="40% - Accent5 4 2 3" xfId="11077" xr:uid="{00000000-0005-0000-0000-0000F2380000}"/>
    <cellStyle name="40% - Accent5 4 2 3 2" xfId="11078" xr:uid="{00000000-0005-0000-0000-0000F3380000}"/>
    <cellStyle name="40% - Accent5 4 2 3 2 2" xfId="11079" xr:uid="{00000000-0005-0000-0000-0000F4380000}"/>
    <cellStyle name="40% - Accent5 4 2 3 2 2 2" xfId="11080" xr:uid="{00000000-0005-0000-0000-0000F5380000}"/>
    <cellStyle name="40% - Accent5 4 2 3 2 2 2 2" xfId="11081" xr:uid="{00000000-0005-0000-0000-0000F6380000}"/>
    <cellStyle name="40% - Accent5 4 2 3 2 2 2 3" xfId="23694" xr:uid="{00000000-0005-0000-0000-0000F7380000}"/>
    <cellStyle name="40% - Accent5 4 2 3 2 2 3" xfId="11082" xr:uid="{00000000-0005-0000-0000-0000F8380000}"/>
    <cellStyle name="40% - Accent5 4 2 3 2 2 4" xfId="21111" xr:uid="{00000000-0005-0000-0000-0000F9380000}"/>
    <cellStyle name="40% - Accent5 4 2 3 2 3" xfId="11083" xr:uid="{00000000-0005-0000-0000-0000FA380000}"/>
    <cellStyle name="40% - Accent5 4 2 3 2 3 2" xfId="11084" xr:uid="{00000000-0005-0000-0000-0000FB380000}"/>
    <cellStyle name="40% - Accent5 4 2 3 2 3 3" xfId="22404" xr:uid="{00000000-0005-0000-0000-0000FC380000}"/>
    <cellStyle name="40% - Accent5 4 2 3 2 4" xfId="11085" xr:uid="{00000000-0005-0000-0000-0000FD380000}"/>
    <cellStyle name="40% - Accent5 4 2 3 2 5" xfId="19817" xr:uid="{00000000-0005-0000-0000-0000FE380000}"/>
    <cellStyle name="40% - Accent5 4 2 3 3" xfId="11086" xr:uid="{00000000-0005-0000-0000-0000FF380000}"/>
    <cellStyle name="40% - Accent5 4 2 3 3 2" xfId="11087" xr:uid="{00000000-0005-0000-0000-000000390000}"/>
    <cellStyle name="40% - Accent5 4 2 3 3 2 2" xfId="11088" xr:uid="{00000000-0005-0000-0000-000001390000}"/>
    <cellStyle name="40% - Accent5 4 2 3 3 2 3" xfId="23049" xr:uid="{00000000-0005-0000-0000-000002390000}"/>
    <cellStyle name="40% - Accent5 4 2 3 3 3" xfId="11089" xr:uid="{00000000-0005-0000-0000-000003390000}"/>
    <cellStyle name="40% - Accent5 4 2 3 3 4" xfId="20466" xr:uid="{00000000-0005-0000-0000-000004390000}"/>
    <cellStyle name="40% - Accent5 4 2 3 4" xfId="11090" xr:uid="{00000000-0005-0000-0000-000005390000}"/>
    <cellStyle name="40% - Accent5 4 2 3 4 2" xfId="11091" xr:uid="{00000000-0005-0000-0000-000006390000}"/>
    <cellStyle name="40% - Accent5 4 2 3 4 3" xfId="21759" xr:uid="{00000000-0005-0000-0000-000007390000}"/>
    <cellStyle name="40% - Accent5 4 2 3 5" xfId="11092" xr:uid="{00000000-0005-0000-0000-000008390000}"/>
    <cellStyle name="40% - Accent5 4 2 3 6" xfId="19169" xr:uid="{00000000-0005-0000-0000-000009390000}"/>
    <cellStyle name="40% - Accent5 4 2 4" xfId="11093" xr:uid="{00000000-0005-0000-0000-00000A390000}"/>
    <cellStyle name="40% - Accent5 4 2 4 2" xfId="11094" xr:uid="{00000000-0005-0000-0000-00000B390000}"/>
    <cellStyle name="40% - Accent5 4 2 4 2 2" xfId="11095" xr:uid="{00000000-0005-0000-0000-00000C390000}"/>
    <cellStyle name="40% - Accent5 4 2 4 2 2 2" xfId="11096" xr:uid="{00000000-0005-0000-0000-00000D390000}"/>
    <cellStyle name="40% - Accent5 4 2 4 2 2 3" xfId="23372" xr:uid="{00000000-0005-0000-0000-00000E390000}"/>
    <cellStyle name="40% - Accent5 4 2 4 2 3" xfId="11097" xr:uid="{00000000-0005-0000-0000-00000F390000}"/>
    <cellStyle name="40% - Accent5 4 2 4 2 4" xfId="20789" xr:uid="{00000000-0005-0000-0000-000010390000}"/>
    <cellStyle name="40% - Accent5 4 2 4 3" xfId="11098" xr:uid="{00000000-0005-0000-0000-000011390000}"/>
    <cellStyle name="40% - Accent5 4 2 4 3 2" xfId="11099" xr:uid="{00000000-0005-0000-0000-000012390000}"/>
    <cellStyle name="40% - Accent5 4 2 4 3 3" xfId="22082" xr:uid="{00000000-0005-0000-0000-000013390000}"/>
    <cellStyle name="40% - Accent5 4 2 4 4" xfId="11100" xr:uid="{00000000-0005-0000-0000-000014390000}"/>
    <cellStyle name="40% - Accent5 4 2 4 5" xfId="19495" xr:uid="{00000000-0005-0000-0000-000015390000}"/>
    <cellStyle name="40% - Accent5 4 2 5" xfId="11101" xr:uid="{00000000-0005-0000-0000-000016390000}"/>
    <cellStyle name="40% - Accent5 4 2 5 2" xfId="11102" xr:uid="{00000000-0005-0000-0000-000017390000}"/>
    <cellStyle name="40% - Accent5 4 2 5 2 2" xfId="11103" xr:uid="{00000000-0005-0000-0000-000018390000}"/>
    <cellStyle name="40% - Accent5 4 2 5 2 3" xfId="22727" xr:uid="{00000000-0005-0000-0000-000019390000}"/>
    <cellStyle name="40% - Accent5 4 2 5 3" xfId="11104" xr:uid="{00000000-0005-0000-0000-00001A390000}"/>
    <cellStyle name="40% - Accent5 4 2 5 4" xfId="20144" xr:uid="{00000000-0005-0000-0000-00001B390000}"/>
    <cellStyle name="40% - Accent5 4 2 6" xfId="11105" xr:uid="{00000000-0005-0000-0000-00001C390000}"/>
    <cellStyle name="40% - Accent5 4 2 6 2" xfId="11106" xr:uid="{00000000-0005-0000-0000-00001D390000}"/>
    <cellStyle name="40% - Accent5 4 2 6 3" xfId="21437" xr:uid="{00000000-0005-0000-0000-00001E390000}"/>
    <cellStyle name="40% - Accent5 4 2 7" xfId="11107" xr:uid="{00000000-0005-0000-0000-00001F390000}"/>
    <cellStyle name="40% - Accent5 4 2 8" xfId="18838" xr:uid="{00000000-0005-0000-0000-000020390000}"/>
    <cellStyle name="40% - Accent5 4 3" xfId="11108" xr:uid="{00000000-0005-0000-0000-000021390000}"/>
    <cellStyle name="40% - Accent5 4 3 2" xfId="11109" xr:uid="{00000000-0005-0000-0000-000022390000}"/>
    <cellStyle name="40% - Accent5 4 3 2 2" xfId="11110" xr:uid="{00000000-0005-0000-0000-000023390000}"/>
    <cellStyle name="40% - Accent5 4 3 2 2 2" xfId="11111" xr:uid="{00000000-0005-0000-0000-000024390000}"/>
    <cellStyle name="40% - Accent5 4 3 2 2 2 2" xfId="11112" xr:uid="{00000000-0005-0000-0000-000025390000}"/>
    <cellStyle name="40% - Accent5 4 3 2 2 2 2 2" xfId="11113" xr:uid="{00000000-0005-0000-0000-000026390000}"/>
    <cellStyle name="40% - Accent5 4 3 2 2 2 2 3" xfId="23775" xr:uid="{00000000-0005-0000-0000-000027390000}"/>
    <cellStyle name="40% - Accent5 4 3 2 2 2 3" xfId="11114" xr:uid="{00000000-0005-0000-0000-000028390000}"/>
    <cellStyle name="40% - Accent5 4 3 2 2 2 4" xfId="21192" xr:uid="{00000000-0005-0000-0000-000029390000}"/>
    <cellStyle name="40% - Accent5 4 3 2 2 3" xfId="11115" xr:uid="{00000000-0005-0000-0000-00002A390000}"/>
    <cellStyle name="40% - Accent5 4 3 2 2 3 2" xfId="11116" xr:uid="{00000000-0005-0000-0000-00002B390000}"/>
    <cellStyle name="40% - Accent5 4 3 2 2 3 3" xfId="22485" xr:uid="{00000000-0005-0000-0000-00002C390000}"/>
    <cellStyle name="40% - Accent5 4 3 2 2 4" xfId="11117" xr:uid="{00000000-0005-0000-0000-00002D390000}"/>
    <cellStyle name="40% - Accent5 4 3 2 2 5" xfId="19898" xr:uid="{00000000-0005-0000-0000-00002E390000}"/>
    <cellStyle name="40% - Accent5 4 3 2 3" xfId="11118" xr:uid="{00000000-0005-0000-0000-00002F390000}"/>
    <cellStyle name="40% - Accent5 4 3 2 3 2" xfId="11119" xr:uid="{00000000-0005-0000-0000-000030390000}"/>
    <cellStyle name="40% - Accent5 4 3 2 3 2 2" xfId="11120" xr:uid="{00000000-0005-0000-0000-000031390000}"/>
    <cellStyle name="40% - Accent5 4 3 2 3 2 3" xfId="23130" xr:uid="{00000000-0005-0000-0000-000032390000}"/>
    <cellStyle name="40% - Accent5 4 3 2 3 3" xfId="11121" xr:uid="{00000000-0005-0000-0000-000033390000}"/>
    <cellStyle name="40% - Accent5 4 3 2 3 4" xfId="20547" xr:uid="{00000000-0005-0000-0000-000034390000}"/>
    <cellStyle name="40% - Accent5 4 3 2 4" xfId="11122" xr:uid="{00000000-0005-0000-0000-000035390000}"/>
    <cellStyle name="40% - Accent5 4 3 2 4 2" xfId="11123" xr:uid="{00000000-0005-0000-0000-000036390000}"/>
    <cellStyle name="40% - Accent5 4 3 2 4 3" xfId="21840" xr:uid="{00000000-0005-0000-0000-000037390000}"/>
    <cellStyle name="40% - Accent5 4 3 2 5" xfId="11124" xr:uid="{00000000-0005-0000-0000-000038390000}"/>
    <cellStyle name="40% - Accent5 4 3 2 6" xfId="19250" xr:uid="{00000000-0005-0000-0000-000039390000}"/>
    <cellStyle name="40% - Accent5 4 3 3" xfId="11125" xr:uid="{00000000-0005-0000-0000-00003A390000}"/>
    <cellStyle name="40% - Accent5 4 3 3 2" xfId="11126" xr:uid="{00000000-0005-0000-0000-00003B390000}"/>
    <cellStyle name="40% - Accent5 4 3 3 2 2" xfId="11127" xr:uid="{00000000-0005-0000-0000-00003C390000}"/>
    <cellStyle name="40% - Accent5 4 3 3 2 2 2" xfId="11128" xr:uid="{00000000-0005-0000-0000-00003D390000}"/>
    <cellStyle name="40% - Accent5 4 3 3 2 2 3" xfId="23453" xr:uid="{00000000-0005-0000-0000-00003E390000}"/>
    <cellStyle name="40% - Accent5 4 3 3 2 3" xfId="11129" xr:uid="{00000000-0005-0000-0000-00003F390000}"/>
    <cellStyle name="40% - Accent5 4 3 3 2 4" xfId="20870" xr:uid="{00000000-0005-0000-0000-000040390000}"/>
    <cellStyle name="40% - Accent5 4 3 3 3" xfId="11130" xr:uid="{00000000-0005-0000-0000-000041390000}"/>
    <cellStyle name="40% - Accent5 4 3 3 3 2" xfId="11131" xr:uid="{00000000-0005-0000-0000-000042390000}"/>
    <cellStyle name="40% - Accent5 4 3 3 3 3" xfId="22163" xr:uid="{00000000-0005-0000-0000-000043390000}"/>
    <cellStyle name="40% - Accent5 4 3 3 4" xfId="11132" xr:uid="{00000000-0005-0000-0000-000044390000}"/>
    <cellStyle name="40% - Accent5 4 3 3 5" xfId="19576" xr:uid="{00000000-0005-0000-0000-000045390000}"/>
    <cellStyle name="40% - Accent5 4 3 4" xfId="11133" xr:uid="{00000000-0005-0000-0000-000046390000}"/>
    <cellStyle name="40% - Accent5 4 3 4 2" xfId="11134" xr:uid="{00000000-0005-0000-0000-000047390000}"/>
    <cellStyle name="40% - Accent5 4 3 4 2 2" xfId="11135" xr:uid="{00000000-0005-0000-0000-000048390000}"/>
    <cellStyle name="40% - Accent5 4 3 4 2 3" xfId="22808" xr:uid="{00000000-0005-0000-0000-000049390000}"/>
    <cellStyle name="40% - Accent5 4 3 4 3" xfId="11136" xr:uid="{00000000-0005-0000-0000-00004A390000}"/>
    <cellStyle name="40% - Accent5 4 3 4 4" xfId="20225" xr:uid="{00000000-0005-0000-0000-00004B390000}"/>
    <cellStyle name="40% - Accent5 4 3 5" xfId="11137" xr:uid="{00000000-0005-0000-0000-00004C390000}"/>
    <cellStyle name="40% - Accent5 4 3 5 2" xfId="11138" xr:uid="{00000000-0005-0000-0000-00004D390000}"/>
    <cellStyle name="40% - Accent5 4 3 5 3" xfId="21518" xr:uid="{00000000-0005-0000-0000-00004E390000}"/>
    <cellStyle name="40% - Accent5 4 3 6" xfId="11139" xr:uid="{00000000-0005-0000-0000-00004F390000}"/>
    <cellStyle name="40% - Accent5 4 3 7" xfId="18924" xr:uid="{00000000-0005-0000-0000-000050390000}"/>
    <cellStyle name="40% - Accent5 4 4" xfId="11140" xr:uid="{00000000-0005-0000-0000-000051390000}"/>
    <cellStyle name="40% - Accent5 4 4 2" xfId="11141" xr:uid="{00000000-0005-0000-0000-000052390000}"/>
    <cellStyle name="40% - Accent5 4 4 2 2" xfId="11142" xr:uid="{00000000-0005-0000-0000-000053390000}"/>
    <cellStyle name="40% - Accent5 4 4 2 2 2" xfId="11143" xr:uid="{00000000-0005-0000-0000-000054390000}"/>
    <cellStyle name="40% - Accent5 4 4 2 2 2 2" xfId="11144" xr:uid="{00000000-0005-0000-0000-000055390000}"/>
    <cellStyle name="40% - Accent5 4 4 2 2 2 3" xfId="23614" xr:uid="{00000000-0005-0000-0000-000056390000}"/>
    <cellStyle name="40% - Accent5 4 4 2 2 3" xfId="11145" xr:uid="{00000000-0005-0000-0000-000057390000}"/>
    <cellStyle name="40% - Accent5 4 4 2 2 4" xfId="21031" xr:uid="{00000000-0005-0000-0000-000058390000}"/>
    <cellStyle name="40% - Accent5 4 4 2 3" xfId="11146" xr:uid="{00000000-0005-0000-0000-000059390000}"/>
    <cellStyle name="40% - Accent5 4 4 2 3 2" xfId="11147" xr:uid="{00000000-0005-0000-0000-00005A390000}"/>
    <cellStyle name="40% - Accent5 4 4 2 3 3" xfId="22324" xr:uid="{00000000-0005-0000-0000-00005B390000}"/>
    <cellStyle name="40% - Accent5 4 4 2 4" xfId="11148" xr:uid="{00000000-0005-0000-0000-00005C390000}"/>
    <cellStyle name="40% - Accent5 4 4 2 5" xfId="19737" xr:uid="{00000000-0005-0000-0000-00005D390000}"/>
    <cellStyle name="40% - Accent5 4 4 3" xfId="11149" xr:uid="{00000000-0005-0000-0000-00005E390000}"/>
    <cellStyle name="40% - Accent5 4 4 3 2" xfId="11150" xr:uid="{00000000-0005-0000-0000-00005F390000}"/>
    <cellStyle name="40% - Accent5 4 4 3 2 2" xfId="11151" xr:uid="{00000000-0005-0000-0000-000060390000}"/>
    <cellStyle name="40% - Accent5 4 4 3 2 3" xfId="22969" xr:uid="{00000000-0005-0000-0000-000061390000}"/>
    <cellStyle name="40% - Accent5 4 4 3 3" xfId="11152" xr:uid="{00000000-0005-0000-0000-000062390000}"/>
    <cellStyle name="40% - Accent5 4 4 3 4" xfId="20386" xr:uid="{00000000-0005-0000-0000-000063390000}"/>
    <cellStyle name="40% - Accent5 4 4 4" xfId="11153" xr:uid="{00000000-0005-0000-0000-000064390000}"/>
    <cellStyle name="40% - Accent5 4 4 4 2" xfId="11154" xr:uid="{00000000-0005-0000-0000-000065390000}"/>
    <cellStyle name="40% - Accent5 4 4 4 3" xfId="21679" xr:uid="{00000000-0005-0000-0000-000066390000}"/>
    <cellStyle name="40% - Accent5 4 4 5" xfId="11155" xr:uid="{00000000-0005-0000-0000-000067390000}"/>
    <cellStyle name="40% - Accent5 4 4 6" xfId="19089" xr:uid="{00000000-0005-0000-0000-000068390000}"/>
    <cellStyle name="40% - Accent5 4 5" xfId="11156" xr:uid="{00000000-0005-0000-0000-000069390000}"/>
    <cellStyle name="40% - Accent5 4 5 2" xfId="11157" xr:uid="{00000000-0005-0000-0000-00006A390000}"/>
    <cellStyle name="40% - Accent5 4 5 2 2" xfId="11158" xr:uid="{00000000-0005-0000-0000-00006B390000}"/>
    <cellStyle name="40% - Accent5 4 5 2 2 2" xfId="11159" xr:uid="{00000000-0005-0000-0000-00006C390000}"/>
    <cellStyle name="40% - Accent5 4 5 2 2 3" xfId="23291" xr:uid="{00000000-0005-0000-0000-00006D390000}"/>
    <cellStyle name="40% - Accent5 4 5 2 3" xfId="11160" xr:uid="{00000000-0005-0000-0000-00006E390000}"/>
    <cellStyle name="40% - Accent5 4 5 2 4" xfId="20708" xr:uid="{00000000-0005-0000-0000-00006F390000}"/>
    <cellStyle name="40% - Accent5 4 5 3" xfId="11161" xr:uid="{00000000-0005-0000-0000-000070390000}"/>
    <cellStyle name="40% - Accent5 4 5 3 2" xfId="11162" xr:uid="{00000000-0005-0000-0000-000071390000}"/>
    <cellStyle name="40% - Accent5 4 5 3 3" xfId="22001" xr:uid="{00000000-0005-0000-0000-000072390000}"/>
    <cellStyle name="40% - Accent5 4 5 4" xfId="11163" xr:uid="{00000000-0005-0000-0000-000073390000}"/>
    <cellStyle name="40% - Accent5 4 5 5" xfId="19415" xr:uid="{00000000-0005-0000-0000-000074390000}"/>
    <cellStyle name="40% - Accent5 4 6" xfId="11164" xr:uid="{00000000-0005-0000-0000-000075390000}"/>
    <cellStyle name="40% - Accent5 4 6 2" xfId="11165" xr:uid="{00000000-0005-0000-0000-000076390000}"/>
    <cellStyle name="40% - Accent5 4 6 2 2" xfId="11166" xr:uid="{00000000-0005-0000-0000-000077390000}"/>
    <cellStyle name="40% - Accent5 4 6 2 3" xfId="22646" xr:uid="{00000000-0005-0000-0000-000078390000}"/>
    <cellStyle name="40% - Accent5 4 6 3" xfId="11167" xr:uid="{00000000-0005-0000-0000-000079390000}"/>
    <cellStyle name="40% - Accent5 4 6 4" xfId="20063" xr:uid="{00000000-0005-0000-0000-00007A390000}"/>
    <cellStyle name="40% - Accent5 4 7" xfId="11168" xr:uid="{00000000-0005-0000-0000-00007B390000}"/>
    <cellStyle name="40% - Accent5 4 7 2" xfId="11169" xr:uid="{00000000-0005-0000-0000-00007C390000}"/>
    <cellStyle name="40% - Accent5 4 7 3" xfId="21356" xr:uid="{00000000-0005-0000-0000-00007D390000}"/>
    <cellStyle name="40% - Accent5 4 8" xfId="11170" xr:uid="{00000000-0005-0000-0000-00007E390000}"/>
    <cellStyle name="40% - Accent5 4 9" xfId="18738" xr:uid="{00000000-0005-0000-0000-00007F390000}"/>
    <cellStyle name="40% - Accent5 5" xfId="11171" xr:uid="{00000000-0005-0000-0000-000080390000}"/>
    <cellStyle name="40% - Accent5 5 2" xfId="11172" xr:uid="{00000000-0005-0000-0000-000081390000}"/>
    <cellStyle name="40% - Accent5 5 2 2" xfId="11173" xr:uid="{00000000-0005-0000-0000-000082390000}"/>
    <cellStyle name="40% - Accent5 5 2 2 2" xfId="11174" xr:uid="{00000000-0005-0000-0000-000083390000}"/>
    <cellStyle name="40% - Accent5 5 2 2 2 2" xfId="11175" xr:uid="{00000000-0005-0000-0000-000084390000}"/>
    <cellStyle name="40% - Accent5 5 2 2 2 2 2" xfId="11176" xr:uid="{00000000-0005-0000-0000-000085390000}"/>
    <cellStyle name="40% - Accent5 5 2 2 2 2 2 2" xfId="11177" xr:uid="{00000000-0005-0000-0000-000086390000}"/>
    <cellStyle name="40% - Accent5 5 2 2 2 2 2 3" xfId="23815" xr:uid="{00000000-0005-0000-0000-000087390000}"/>
    <cellStyle name="40% - Accent5 5 2 2 2 2 3" xfId="11178" xr:uid="{00000000-0005-0000-0000-000088390000}"/>
    <cellStyle name="40% - Accent5 5 2 2 2 2 4" xfId="21232" xr:uid="{00000000-0005-0000-0000-000089390000}"/>
    <cellStyle name="40% - Accent5 5 2 2 2 3" xfId="11179" xr:uid="{00000000-0005-0000-0000-00008A390000}"/>
    <cellStyle name="40% - Accent5 5 2 2 2 3 2" xfId="11180" xr:uid="{00000000-0005-0000-0000-00008B390000}"/>
    <cellStyle name="40% - Accent5 5 2 2 2 3 3" xfId="22525" xr:uid="{00000000-0005-0000-0000-00008C390000}"/>
    <cellStyle name="40% - Accent5 5 2 2 2 4" xfId="11181" xr:uid="{00000000-0005-0000-0000-00008D390000}"/>
    <cellStyle name="40% - Accent5 5 2 2 2 5" xfId="19938" xr:uid="{00000000-0005-0000-0000-00008E390000}"/>
    <cellStyle name="40% - Accent5 5 2 2 3" xfId="11182" xr:uid="{00000000-0005-0000-0000-00008F390000}"/>
    <cellStyle name="40% - Accent5 5 2 2 3 2" xfId="11183" xr:uid="{00000000-0005-0000-0000-000090390000}"/>
    <cellStyle name="40% - Accent5 5 2 2 3 2 2" xfId="11184" xr:uid="{00000000-0005-0000-0000-000091390000}"/>
    <cellStyle name="40% - Accent5 5 2 2 3 2 3" xfId="23170" xr:uid="{00000000-0005-0000-0000-000092390000}"/>
    <cellStyle name="40% - Accent5 5 2 2 3 3" xfId="11185" xr:uid="{00000000-0005-0000-0000-000093390000}"/>
    <cellStyle name="40% - Accent5 5 2 2 3 4" xfId="20587" xr:uid="{00000000-0005-0000-0000-000094390000}"/>
    <cellStyle name="40% - Accent5 5 2 2 4" xfId="11186" xr:uid="{00000000-0005-0000-0000-000095390000}"/>
    <cellStyle name="40% - Accent5 5 2 2 4 2" xfId="11187" xr:uid="{00000000-0005-0000-0000-000096390000}"/>
    <cellStyle name="40% - Accent5 5 2 2 4 3" xfId="21880" xr:uid="{00000000-0005-0000-0000-000097390000}"/>
    <cellStyle name="40% - Accent5 5 2 2 5" xfId="11188" xr:uid="{00000000-0005-0000-0000-000098390000}"/>
    <cellStyle name="40% - Accent5 5 2 2 6" xfId="19290" xr:uid="{00000000-0005-0000-0000-000099390000}"/>
    <cellStyle name="40% - Accent5 5 2 3" xfId="11189" xr:uid="{00000000-0005-0000-0000-00009A390000}"/>
    <cellStyle name="40% - Accent5 5 2 3 2" xfId="11190" xr:uid="{00000000-0005-0000-0000-00009B390000}"/>
    <cellStyle name="40% - Accent5 5 2 3 2 2" xfId="11191" xr:uid="{00000000-0005-0000-0000-00009C390000}"/>
    <cellStyle name="40% - Accent5 5 2 3 2 2 2" xfId="11192" xr:uid="{00000000-0005-0000-0000-00009D390000}"/>
    <cellStyle name="40% - Accent5 5 2 3 2 2 3" xfId="23493" xr:uid="{00000000-0005-0000-0000-00009E390000}"/>
    <cellStyle name="40% - Accent5 5 2 3 2 3" xfId="11193" xr:uid="{00000000-0005-0000-0000-00009F390000}"/>
    <cellStyle name="40% - Accent5 5 2 3 2 4" xfId="20910" xr:uid="{00000000-0005-0000-0000-0000A0390000}"/>
    <cellStyle name="40% - Accent5 5 2 3 3" xfId="11194" xr:uid="{00000000-0005-0000-0000-0000A1390000}"/>
    <cellStyle name="40% - Accent5 5 2 3 3 2" xfId="11195" xr:uid="{00000000-0005-0000-0000-0000A2390000}"/>
    <cellStyle name="40% - Accent5 5 2 3 3 3" xfId="22203" xr:uid="{00000000-0005-0000-0000-0000A3390000}"/>
    <cellStyle name="40% - Accent5 5 2 3 4" xfId="11196" xr:uid="{00000000-0005-0000-0000-0000A4390000}"/>
    <cellStyle name="40% - Accent5 5 2 3 5" xfId="19616" xr:uid="{00000000-0005-0000-0000-0000A5390000}"/>
    <cellStyle name="40% - Accent5 5 2 4" xfId="11197" xr:uid="{00000000-0005-0000-0000-0000A6390000}"/>
    <cellStyle name="40% - Accent5 5 2 4 2" xfId="11198" xr:uid="{00000000-0005-0000-0000-0000A7390000}"/>
    <cellStyle name="40% - Accent5 5 2 4 2 2" xfId="11199" xr:uid="{00000000-0005-0000-0000-0000A8390000}"/>
    <cellStyle name="40% - Accent5 5 2 4 2 3" xfId="22848" xr:uid="{00000000-0005-0000-0000-0000A9390000}"/>
    <cellStyle name="40% - Accent5 5 2 4 3" xfId="11200" xr:uid="{00000000-0005-0000-0000-0000AA390000}"/>
    <cellStyle name="40% - Accent5 5 2 4 4" xfId="20265" xr:uid="{00000000-0005-0000-0000-0000AB390000}"/>
    <cellStyle name="40% - Accent5 5 2 5" xfId="11201" xr:uid="{00000000-0005-0000-0000-0000AC390000}"/>
    <cellStyle name="40% - Accent5 5 2 5 2" xfId="11202" xr:uid="{00000000-0005-0000-0000-0000AD390000}"/>
    <cellStyle name="40% - Accent5 5 2 5 3" xfId="21558" xr:uid="{00000000-0005-0000-0000-0000AE390000}"/>
    <cellStyle name="40% - Accent5 5 2 6" xfId="11203" xr:uid="{00000000-0005-0000-0000-0000AF390000}"/>
    <cellStyle name="40% - Accent5 5 2 7" xfId="18964" xr:uid="{00000000-0005-0000-0000-0000B0390000}"/>
    <cellStyle name="40% - Accent5 5 3" xfId="11204" xr:uid="{00000000-0005-0000-0000-0000B1390000}"/>
    <cellStyle name="40% - Accent5 5 3 2" xfId="11205" xr:uid="{00000000-0005-0000-0000-0000B2390000}"/>
    <cellStyle name="40% - Accent5 5 3 2 2" xfId="11206" xr:uid="{00000000-0005-0000-0000-0000B3390000}"/>
    <cellStyle name="40% - Accent5 5 3 2 2 2" xfId="11207" xr:uid="{00000000-0005-0000-0000-0000B4390000}"/>
    <cellStyle name="40% - Accent5 5 3 2 2 2 2" xfId="11208" xr:uid="{00000000-0005-0000-0000-0000B5390000}"/>
    <cellStyle name="40% - Accent5 5 3 2 2 2 3" xfId="23654" xr:uid="{00000000-0005-0000-0000-0000B6390000}"/>
    <cellStyle name="40% - Accent5 5 3 2 2 3" xfId="11209" xr:uid="{00000000-0005-0000-0000-0000B7390000}"/>
    <cellStyle name="40% - Accent5 5 3 2 2 4" xfId="21071" xr:uid="{00000000-0005-0000-0000-0000B8390000}"/>
    <cellStyle name="40% - Accent5 5 3 2 3" xfId="11210" xr:uid="{00000000-0005-0000-0000-0000B9390000}"/>
    <cellStyle name="40% - Accent5 5 3 2 3 2" xfId="11211" xr:uid="{00000000-0005-0000-0000-0000BA390000}"/>
    <cellStyle name="40% - Accent5 5 3 2 3 3" xfId="22364" xr:uid="{00000000-0005-0000-0000-0000BB390000}"/>
    <cellStyle name="40% - Accent5 5 3 2 4" xfId="11212" xr:uid="{00000000-0005-0000-0000-0000BC390000}"/>
    <cellStyle name="40% - Accent5 5 3 2 5" xfId="19777" xr:uid="{00000000-0005-0000-0000-0000BD390000}"/>
    <cellStyle name="40% - Accent5 5 3 3" xfId="11213" xr:uid="{00000000-0005-0000-0000-0000BE390000}"/>
    <cellStyle name="40% - Accent5 5 3 3 2" xfId="11214" xr:uid="{00000000-0005-0000-0000-0000BF390000}"/>
    <cellStyle name="40% - Accent5 5 3 3 2 2" xfId="11215" xr:uid="{00000000-0005-0000-0000-0000C0390000}"/>
    <cellStyle name="40% - Accent5 5 3 3 2 3" xfId="23009" xr:uid="{00000000-0005-0000-0000-0000C1390000}"/>
    <cellStyle name="40% - Accent5 5 3 3 3" xfId="11216" xr:uid="{00000000-0005-0000-0000-0000C2390000}"/>
    <cellStyle name="40% - Accent5 5 3 3 4" xfId="20426" xr:uid="{00000000-0005-0000-0000-0000C3390000}"/>
    <cellStyle name="40% - Accent5 5 3 4" xfId="11217" xr:uid="{00000000-0005-0000-0000-0000C4390000}"/>
    <cellStyle name="40% - Accent5 5 3 4 2" xfId="11218" xr:uid="{00000000-0005-0000-0000-0000C5390000}"/>
    <cellStyle name="40% - Accent5 5 3 4 3" xfId="21719" xr:uid="{00000000-0005-0000-0000-0000C6390000}"/>
    <cellStyle name="40% - Accent5 5 3 5" xfId="11219" xr:uid="{00000000-0005-0000-0000-0000C7390000}"/>
    <cellStyle name="40% - Accent5 5 3 6" xfId="19129" xr:uid="{00000000-0005-0000-0000-0000C8390000}"/>
    <cellStyle name="40% - Accent5 5 4" xfId="11220" xr:uid="{00000000-0005-0000-0000-0000C9390000}"/>
    <cellStyle name="40% - Accent5 5 4 2" xfId="11221" xr:uid="{00000000-0005-0000-0000-0000CA390000}"/>
    <cellStyle name="40% - Accent5 5 4 2 2" xfId="11222" xr:uid="{00000000-0005-0000-0000-0000CB390000}"/>
    <cellStyle name="40% - Accent5 5 4 2 2 2" xfId="11223" xr:uid="{00000000-0005-0000-0000-0000CC390000}"/>
    <cellStyle name="40% - Accent5 5 4 2 2 3" xfId="23332" xr:uid="{00000000-0005-0000-0000-0000CD390000}"/>
    <cellStyle name="40% - Accent5 5 4 2 3" xfId="11224" xr:uid="{00000000-0005-0000-0000-0000CE390000}"/>
    <cellStyle name="40% - Accent5 5 4 2 4" xfId="20749" xr:uid="{00000000-0005-0000-0000-0000CF390000}"/>
    <cellStyle name="40% - Accent5 5 4 3" xfId="11225" xr:uid="{00000000-0005-0000-0000-0000D0390000}"/>
    <cellStyle name="40% - Accent5 5 4 3 2" xfId="11226" xr:uid="{00000000-0005-0000-0000-0000D1390000}"/>
    <cellStyle name="40% - Accent5 5 4 3 3" xfId="22042" xr:uid="{00000000-0005-0000-0000-0000D2390000}"/>
    <cellStyle name="40% - Accent5 5 4 4" xfId="11227" xr:uid="{00000000-0005-0000-0000-0000D3390000}"/>
    <cellStyle name="40% - Accent5 5 4 5" xfId="19455" xr:uid="{00000000-0005-0000-0000-0000D4390000}"/>
    <cellStyle name="40% - Accent5 5 5" xfId="11228" xr:uid="{00000000-0005-0000-0000-0000D5390000}"/>
    <cellStyle name="40% - Accent5 5 5 2" xfId="11229" xr:uid="{00000000-0005-0000-0000-0000D6390000}"/>
    <cellStyle name="40% - Accent5 5 5 2 2" xfId="11230" xr:uid="{00000000-0005-0000-0000-0000D7390000}"/>
    <cellStyle name="40% - Accent5 5 5 2 3" xfId="22687" xr:uid="{00000000-0005-0000-0000-0000D8390000}"/>
    <cellStyle name="40% - Accent5 5 5 3" xfId="11231" xr:uid="{00000000-0005-0000-0000-0000D9390000}"/>
    <cellStyle name="40% - Accent5 5 5 4" xfId="20104" xr:uid="{00000000-0005-0000-0000-0000DA390000}"/>
    <cellStyle name="40% - Accent5 5 6" xfId="11232" xr:uid="{00000000-0005-0000-0000-0000DB390000}"/>
    <cellStyle name="40% - Accent5 5 6 2" xfId="11233" xr:uid="{00000000-0005-0000-0000-0000DC390000}"/>
    <cellStyle name="40% - Accent5 5 6 3" xfId="21397" xr:uid="{00000000-0005-0000-0000-0000DD390000}"/>
    <cellStyle name="40% - Accent5 5 7" xfId="11234" xr:uid="{00000000-0005-0000-0000-0000DE390000}"/>
    <cellStyle name="40% - Accent5 5 8" xfId="18791" xr:uid="{00000000-0005-0000-0000-0000DF390000}"/>
    <cellStyle name="40% - Accent5 6" xfId="11235" xr:uid="{00000000-0005-0000-0000-0000E0390000}"/>
    <cellStyle name="40% - Accent5 6 2" xfId="11236" xr:uid="{00000000-0005-0000-0000-0000E1390000}"/>
    <cellStyle name="40% - Accent5 6 2 2" xfId="11237" xr:uid="{00000000-0005-0000-0000-0000E2390000}"/>
    <cellStyle name="40% - Accent5 6 2 2 2" xfId="11238" xr:uid="{00000000-0005-0000-0000-0000E3390000}"/>
    <cellStyle name="40% - Accent5 6 2 2 2 2" xfId="11239" xr:uid="{00000000-0005-0000-0000-0000E4390000}"/>
    <cellStyle name="40% - Accent5 6 2 2 2 2 2" xfId="11240" xr:uid="{00000000-0005-0000-0000-0000E5390000}"/>
    <cellStyle name="40% - Accent5 6 2 2 2 2 3" xfId="23735" xr:uid="{00000000-0005-0000-0000-0000E6390000}"/>
    <cellStyle name="40% - Accent5 6 2 2 2 3" xfId="11241" xr:uid="{00000000-0005-0000-0000-0000E7390000}"/>
    <cellStyle name="40% - Accent5 6 2 2 2 4" xfId="21152" xr:uid="{00000000-0005-0000-0000-0000E8390000}"/>
    <cellStyle name="40% - Accent5 6 2 2 3" xfId="11242" xr:uid="{00000000-0005-0000-0000-0000E9390000}"/>
    <cellStyle name="40% - Accent5 6 2 2 3 2" xfId="11243" xr:uid="{00000000-0005-0000-0000-0000EA390000}"/>
    <cellStyle name="40% - Accent5 6 2 2 3 3" xfId="22445" xr:uid="{00000000-0005-0000-0000-0000EB390000}"/>
    <cellStyle name="40% - Accent5 6 2 2 4" xfId="11244" xr:uid="{00000000-0005-0000-0000-0000EC390000}"/>
    <cellStyle name="40% - Accent5 6 2 2 5" xfId="19858" xr:uid="{00000000-0005-0000-0000-0000ED390000}"/>
    <cellStyle name="40% - Accent5 6 2 3" xfId="11245" xr:uid="{00000000-0005-0000-0000-0000EE390000}"/>
    <cellStyle name="40% - Accent5 6 2 3 2" xfId="11246" xr:uid="{00000000-0005-0000-0000-0000EF390000}"/>
    <cellStyle name="40% - Accent5 6 2 3 2 2" xfId="11247" xr:uid="{00000000-0005-0000-0000-0000F0390000}"/>
    <cellStyle name="40% - Accent5 6 2 3 2 3" xfId="23090" xr:uid="{00000000-0005-0000-0000-0000F1390000}"/>
    <cellStyle name="40% - Accent5 6 2 3 3" xfId="11248" xr:uid="{00000000-0005-0000-0000-0000F2390000}"/>
    <cellStyle name="40% - Accent5 6 2 3 4" xfId="20507" xr:uid="{00000000-0005-0000-0000-0000F3390000}"/>
    <cellStyle name="40% - Accent5 6 2 4" xfId="11249" xr:uid="{00000000-0005-0000-0000-0000F4390000}"/>
    <cellStyle name="40% - Accent5 6 2 4 2" xfId="11250" xr:uid="{00000000-0005-0000-0000-0000F5390000}"/>
    <cellStyle name="40% - Accent5 6 2 4 3" xfId="21800" xr:uid="{00000000-0005-0000-0000-0000F6390000}"/>
    <cellStyle name="40% - Accent5 6 2 5" xfId="11251" xr:uid="{00000000-0005-0000-0000-0000F7390000}"/>
    <cellStyle name="40% - Accent5 6 2 6" xfId="19210" xr:uid="{00000000-0005-0000-0000-0000F8390000}"/>
    <cellStyle name="40% - Accent5 6 3" xfId="11252" xr:uid="{00000000-0005-0000-0000-0000F9390000}"/>
    <cellStyle name="40% - Accent5 6 3 2" xfId="11253" xr:uid="{00000000-0005-0000-0000-0000FA390000}"/>
    <cellStyle name="40% - Accent5 6 3 2 2" xfId="11254" xr:uid="{00000000-0005-0000-0000-0000FB390000}"/>
    <cellStyle name="40% - Accent5 6 3 2 2 2" xfId="11255" xr:uid="{00000000-0005-0000-0000-0000FC390000}"/>
    <cellStyle name="40% - Accent5 6 3 2 2 3" xfId="23413" xr:uid="{00000000-0005-0000-0000-0000FD390000}"/>
    <cellStyle name="40% - Accent5 6 3 2 3" xfId="11256" xr:uid="{00000000-0005-0000-0000-0000FE390000}"/>
    <cellStyle name="40% - Accent5 6 3 2 4" xfId="20830" xr:uid="{00000000-0005-0000-0000-0000FF390000}"/>
    <cellStyle name="40% - Accent5 6 3 3" xfId="11257" xr:uid="{00000000-0005-0000-0000-0000003A0000}"/>
    <cellStyle name="40% - Accent5 6 3 3 2" xfId="11258" xr:uid="{00000000-0005-0000-0000-0000013A0000}"/>
    <cellStyle name="40% - Accent5 6 3 3 3" xfId="22123" xr:uid="{00000000-0005-0000-0000-0000023A0000}"/>
    <cellStyle name="40% - Accent5 6 3 4" xfId="11259" xr:uid="{00000000-0005-0000-0000-0000033A0000}"/>
    <cellStyle name="40% - Accent5 6 3 5" xfId="19536" xr:uid="{00000000-0005-0000-0000-0000043A0000}"/>
    <cellStyle name="40% - Accent5 6 4" xfId="11260" xr:uid="{00000000-0005-0000-0000-0000053A0000}"/>
    <cellStyle name="40% - Accent5 6 4 2" xfId="11261" xr:uid="{00000000-0005-0000-0000-0000063A0000}"/>
    <cellStyle name="40% - Accent5 6 4 2 2" xfId="11262" xr:uid="{00000000-0005-0000-0000-0000073A0000}"/>
    <cellStyle name="40% - Accent5 6 4 2 3" xfId="22768" xr:uid="{00000000-0005-0000-0000-0000083A0000}"/>
    <cellStyle name="40% - Accent5 6 4 3" xfId="11263" xr:uid="{00000000-0005-0000-0000-0000093A0000}"/>
    <cellStyle name="40% - Accent5 6 4 4" xfId="20185" xr:uid="{00000000-0005-0000-0000-00000A3A0000}"/>
    <cellStyle name="40% - Accent5 6 5" xfId="11264" xr:uid="{00000000-0005-0000-0000-00000B3A0000}"/>
    <cellStyle name="40% - Accent5 6 5 2" xfId="11265" xr:uid="{00000000-0005-0000-0000-00000C3A0000}"/>
    <cellStyle name="40% - Accent5 6 5 3" xfId="21478" xr:uid="{00000000-0005-0000-0000-00000D3A0000}"/>
    <cellStyle name="40% - Accent5 6 6" xfId="11266" xr:uid="{00000000-0005-0000-0000-00000E3A0000}"/>
    <cellStyle name="40% - Accent5 6 7" xfId="18880" xr:uid="{00000000-0005-0000-0000-00000F3A0000}"/>
    <cellStyle name="40% - Accent5 7" xfId="11267" xr:uid="{00000000-0005-0000-0000-0000103A0000}"/>
    <cellStyle name="40% - Accent5 7 2" xfId="11268" xr:uid="{00000000-0005-0000-0000-0000113A0000}"/>
    <cellStyle name="40% - Accent5 7 2 2" xfId="11269" xr:uid="{00000000-0005-0000-0000-0000123A0000}"/>
    <cellStyle name="40% - Accent5 7 2 2 2" xfId="11270" xr:uid="{00000000-0005-0000-0000-0000133A0000}"/>
    <cellStyle name="40% - Accent5 7 2 2 2 2" xfId="11271" xr:uid="{00000000-0005-0000-0000-0000143A0000}"/>
    <cellStyle name="40% - Accent5 7 2 2 2 3" xfId="23574" xr:uid="{00000000-0005-0000-0000-0000153A0000}"/>
    <cellStyle name="40% - Accent5 7 2 2 3" xfId="11272" xr:uid="{00000000-0005-0000-0000-0000163A0000}"/>
    <cellStyle name="40% - Accent5 7 2 2 4" xfId="20991" xr:uid="{00000000-0005-0000-0000-0000173A0000}"/>
    <cellStyle name="40% - Accent5 7 2 3" xfId="11273" xr:uid="{00000000-0005-0000-0000-0000183A0000}"/>
    <cellStyle name="40% - Accent5 7 2 3 2" xfId="11274" xr:uid="{00000000-0005-0000-0000-0000193A0000}"/>
    <cellStyle name="40% - Accent5 7 2 3 3" xfId="22284" xr:uid="{00000000-0005-0000-0000-00001A3A0000}"/>
    <cellStyle name="40% - Accent5 7 2 4" xfId="11275" xr:uid="{00000000-0005-0000-0000-00001B3A0000}"/>
    <cellStyle name="40% - Accent5 7 2 5" xfId="19697" xr:uid="{00000000-0005-0000-0000-00001C3A0000}"/>
    <cellStyle name="40% - Accent5 7 3" xfId="11276" xr:uid="{00000000-0005-0000-0000-00001D3A0000}"/>
    <cellStyle name="40% - Accent5 7 3 2" xfId="11277" xr:uid="{00000000-0005-0000-0000-00001E3A0000}"/>
    <cellStyle name="40% - Accent5 7 3 2 2" xfId="11278" xr:uid="{00000000-0005-0000-0000-00001F3A0000}"/>
    <cellStyle name="40% - Accent5 7 3 2 3" xfId="22929" xr:uid="{00000000-0005-0000-0000-0000203A0000}"/>
    <cellStyle name="40% - Accent5 7 3 3" xfId="11279" xr:uid="{00000000-0005-0000-0000-0000213A0000}"/>
    <cellStyle name="40% - Accent5 7 3 4" xfId="20346" xr:uid="{00000000-0005-0000-0000-0000223A0000}"/>
    <cellStyle name="40% - Accent5 7 4" xfId="11280" xr:uid="{00000000-0005-0000-0000-0000233A0000}"/>
    <cellStyle name="40% - Accent5 7 4 2" xfId="11281" xr:uid="{00000000-0005-0000-0000-0000243A0000}"/>
    <cellStyle name="40% - Accent5 7 4 3" xfId="21639" xr:uid="{00000000-0005-0000-0000-0000253A0000}"/>
    <cellStyle name="40% - Accent5 7 5" xfId="11282" xr:uid="{00000000-0005-0000-0000-0000263A0000}"/>
    <cellStyle name="40% - Accent5 7 6" xfId="19045" xr:uid="{00000000-0005-0000-0000-0000273A0000}"/>
    <cellStyle name="40% - Accent5 8" xfId="11283" xr:uid="{00000000-0005-0000-0000-0000283A0000}"/>
    <cellStyle name="40% - Accent5 8 2" xfId="11284" xr:uid="{00000000-0005-0000-0000-0000293A0000}"/>
    <cellStyle name="40% - Accent5 8 2 2" xfId="11285" xr:uid="{00000000-0005-0000-0000-00002A3A0000}"/>
    <cellStyle name="40% - Accent5 8 2 2 2" xfId="11286" xr:uid="{00000000-0005-0000-0000-00002B3A0000}"/>
    <cellStyle name="40% - Accent5 8 2 2 3" xfId="23251" xr:uid="{00000000-0005-0000-0000-00002C3A0000}"/>
    <cellStyle name="40% - Accent5 8 2 3" xfId="11287" xr:uid="{00000000-0005-0000-0000-00002D3A0000}"/>
    <cellStyle name="40% - Accent5 8 2 4" xfId="20668" xr:uid="{00000000-0005-0000-0000-00002E3A0000}"/>
    <cellStyle name="40% - Accent5 8 3" xfId="11288" xr:uid="{00000000-0005-0000-0000-00002F3A0000}"/>
    <cellStyle name="40% - Accent5 8 3 2" xfId="11289" xr:uid="{00000000-0005-0000-0000-0000303A0000}"/>
    <cellStyle name="40% - Accent5 8 3 3" xfId="21961" xr:uid="{00000000-0005-0000-0000-0000313A0000}"/>
    <cellStyle name="40% - Accent5 8 4" xfId="11290" xr:uid="{00000000-0005-0000-0000-0000323A0000}"/>
    <cellStyle name="40% - Accent5 8 5" xfId="19371" xr:uid="{00000000-0005-0000-0000-0000333A0000}"/>
    <cellStyle name="40% - Accent5 9" xfId="11291" xr:uid="{00000000-0005-0000-0000-0000343A0000}"/>
    <cellStyle name="40% - Accent5 9 2" xfId="11292" xr:uid="{00000000-0005-0000-0000-0000353A0000}"/>
    <cellStyle name="40% - Accent5 9 2 2" xfId="11293" xr:uid="{00000000-0005-0000-0000-0000363A0000}"/>
    <cellStyle name="40% - Accent5 9 2 3" xfId="22606" xr:uid="{00000000-0005-0000-0000-0000373A0000}"/>
    <cellStyle name="40% - Accent5 9 3" xfId="11294" xr:uid="{00000000-0005-0000-0000-0000383A0000}"/>
    <cellStyle name="40% - Accent5 9 4" xfId="20019" xr:uid="{00000000-0005-0000-0000-0000393A0000}"/>
    <cellStyle name="40% - Accent6 10" xfId="11295" xr:uid="{00000000-0005-0000-0000-00003A3A0000}"/>
    <cellStyle name="40% - Accent6 10 2" xfId="11296" xr:uid="{00000000-0005-0000-0000-00003B3A0000}"/>
    <cellStyle name="40% - Accent6 10 3" xfId="21314" xr:uid="{00000000-0005-0000-0000-00003C3A0000}"/>
    <cellStyle name="40% - Accent6 11" xfId="11297" xr:uid="{00000000-0005-0000-0000-00003D3A0000}"/>
    <cellStyle name="40% - Accent6 12" xfId="11298" xr:uid="{00000000-0005-0000-0000-00003E3A0000}"/>
    <cellStyle name="40% - Accent6 13" xfId="11299" xr:uid="{00000000-0005-0000-0000-00003F3A0000}"/>
    <cellStyle name="40% - Accent6 14" xfId="11300" xr:uid="{00000000-0005-0000-0000-0000403A0000}"/>
    <cellStyle name="40% - Accent6 15" xfId="18629" xr:uid="{00000000-0005-0000-0000-0000413A0000}"/>
    <cellStyle name="40% - Accent6 2" xfId="11301" xr:uid="{00000000-0005-0000-0000-0000423A0000}"/>
    <cellStyle name="40% - Accent6 2 10" xfId="11302" xr:uid="{00000000-0005-0000-0000-0000433A0000}"/>
    <cellStyle name="40% - Accent6 2 11" xfId="18641" xr:uid="{00000000-0005-0000-0000-0000443A0000}"/>
    <cellStyle name="40% - Accent6 2 2" xfId="11303" xr:uid="{00000000-0005-0000-0000-0000453A0000}"/>
    <cellStyle name="40% - Accent6 2 2 10" xfId="18730" xr:uid="{00000000-0005-0000-0000-0000463A0000}"/>
    <cellStyle name="40% - Accent6 2 2 2" xfId="11304" xr:uid="{00000000-0005-0000-0000-0000473A0000}"/>
    <cellStyle name="40% - Accent6 2 2 2 2" xfId="11305" xr:uid="{00000000-0005-0000-0000-0000483A0000}"/>
    <cellStyle name="40% - Accent6 2 2 2 2 2" xfId="11306" xr:uid="{00000000-0005-0000-0000-0000493A0000}"/>
    <cellStyle name="40% - Accent6 2 2 2 2 2 2" xfId="11307" xr:uid="{00000000-0005-0000-0000-00004A3A0000}"/>
    <cellStyle name="40% - Accent6 2 2 2 2 2 2 2" xfId="11308" xr:uid="{00000000-0005-0000-0000-00004B3A0000}"/>
    <cellStyle name="40% - Accent6 2 2 2 2 2 2 2 2" xfId="11309" xr:uid="{00000000-0005-0000-0000-00004C3A0000}"/>
    <cellStyle name="40% - Accent6 2 2 2 2 2 2 2 2 2" xfId="11310" xr:uid="{00000000-0005-0000-0000-00004D3A0000}"/>
    <cellStyle name="40% - Accent6 2 2 2 2 2 2 2 2 2 2" xfId="11311" xr:uid="{00000000-0005-0000-0000-00004E3A0000}"/>
    <cellStyle name="40% - Accent6 2 2 2 2 2 2 2 2 2 3" xfId="23887" xr:uid="{00000000-0005-0000-0000-00004F3A0000}"/>
    <cellStyle name="40% - Accent6 2 2 2 2 2 2 2 2 3" xfId="11312" xr:uid="{00000000-0005-0000-0000-0000503A0000}"/>
    <cellStyle name="40% - Accent6 2 2 2 2 2 2 2 2 4" xfId="21304" xr:uid="{00000000-0005-0000-0000-0000513A0000}"/>
    <cellStyle name="40% - Accent6 2 2 2 2 2 2 2 3" xfId="11313" xr:uid="{00000000-0005-0000-0000-0000523A0000}"/>
    <cellStyle name="40% - Accent6 2 2 2 2 2 2 2 3 2" xfId="11314" xr:uid="{00000000-0005-0000-0000-0000533A0000}"/>
    <cellStyle name="40% - Accent6 2 2 2 2 2 2 2 3 3" xfId="22597" xr:uid="{00000000-0005-0000-0000-0000543A0000}"/>
    <cellStyle name="40% - Accent6 2 2 2 2 2 2 2 4" xfId="11315" xr:uid="{00000000-0005-0000-0000-0000553A0000}"/>
    <cellStyle name="40% - Accent6 2 2 2 2 2 2 2 5" xfId="20010" xr:uid="{00000000-0005-0000-0000-0000563A0000}"/>
    <cellStyle name="40% - Accent6 2 2 2 2 2 2 3" xfId="11316" xr:uid="{00000000-0005-0000-0000-0000573A0000}"/>
    <cellStyle name="40% - Accent6 2 2 2 2 2 2 3 2" xfId="11317" xr:uid="{00000000-0005-0000-0000-0000583A0000}"/>
    <cellStyle name="40% - Accent6 2 2 2 2 2 2 3 2 2" xfId="11318" xr:uid="{00000000-0005-0000-0000-0000593A0000}"/>
    <cellStyle name="40% - Accent6 2 2 2 2 2 2 3 2 3" xfId="23242" xr:uid="{00000000-0005-0000-0000-00005A3A0000}"/>
    <cellStyle name="40% - Accent6 2 2 2 2 2 2 3 3" xfId="11319" xr:uid="{00000000-0005-0000-0000-00005B3A0000}"/>
    <cellStyle name="40% - Accent6 2 2 2 2 2 2 3 4" xfId="20659" xr:uid="{00000000-0005-0000-0000-00005C3A0000}"/>
    <cellStyle name="40% - Accent6 2 2 2 2 2 2 4" xfId="11320" xr:uid="{00000000-0005-0000-0000-00005D3A0000}"/>
    <cellStyle name="40% - Accent6 2 2 2 2 2 2 4 2" xfId="11321" xr:uid="{00000000-0005-0000-0000-00005E3A0000}"/>
    <cellStyle name="40% - Accent6 2 2 2 2 2 2 4 3" xfId="21952" xr:uid="{00000000-0005-0000-0000-00005F3A0000}"/>
    <cellStyle name="40% - Accent6 2 2 2 2 2 2 5" xfId="11322" xr:uid="{00000000-0005-0000-0000-0000603A0000}"/>
    <cellStyle name="40% - Accent6 2 2 2 2 2 2 6" xfId="19362" xr:uid="{00000000-0005-0000-0000-0000613A0000}"/>
    <cellStyle name="40% - Accent6 2 2 2 2 2 3" xfId="11323" xr:uid="{00000000-0005-0000-0000-0000623A0000}"/>
    <cellStyle name="40% - Accent6 2 2 2 2 2 3 2" xfId="11324" xr:uid="{00000000-0005-0000-0000-0000633A0000}"/>
    <cellStyle name="40% - Accent6 2 2 2 2 2 3 2 2" xfId="11325" xr:uid="{00000000-0005-0000-0000-0000643A0000}"/>
    <cellStyle name="40% - Accent6 2 2 2 2 2 3 2 2 2" xfId="11326" xr:uid="{00000000-0005-0000-0000-0000653A0000}"/>
    <cellStyle name="40% - Accent6 2 2 2 2 2 3 2 2 3" xfId="23565" xr:uid="{00000000-0005-0000-0000-0000663A0000}"/>
    <cellStyle name="40% - Accent6 2 2 2 2 2 3 2 3" xfId="11327" xr:uid="{00000000-0005-0000-0000-0000673A0000}"/>
    <cellStyle name="40% - Accent6 2 2 2 2 2 3 2 4" xfId="20982" xr:uid="{00000000-0005-0000-0000-0000683A0000}"/>
    <cellStyle name="40% - Accent6 2 2 2 2 2 3 3" xfId="11328" xr:uid="{00000000-0005-0000-0000-0000693A0000}"/>
    <cellStyle name="40% - Accent6 2 2 2 2 2 3 3 2" xfId="11329" xr:uid="{00000000-0005-0000-0000-00006A3A0000}"/>
    <cellStyle name="40% - Accent6 2 2 2 2 2 3 3 3" xfId="22275" xr:uid="{00000000-0005-0000-0000-00006B3A0000}"/>
    <cellStyle name="40% - Accent6 2 2 2 2 2 3 4" xfId="11330" xr:uid="{00000000-0005-0000-0000-00006C3A0000}"/>
    <cellStyle name="40% - Accent6 2 2 2 2 2 3 5" xfId="19688" xr:uid="{00000000-0005-0000-0000-00006D3A0000}"/>
    <cellStyle name="40% - Accent6 2 2 2 2 2 4" xfId="11331" xr:uid="{00000000-0005-0000-0000-00006E3A0000}"/>
    <cellStyle name="40% - Accent6 2 2 2 2 2 4 2" xfId="11332" xr:uid="{00000000-0005-0000-0000-00006F3A0000}"/>
    <cellStyle name="40% - Accent6 2 2 2 2 2 4 2 2" xfId="11333" xr:uid="{00000000-0005-0000-0000-0000703A0000}"/>
    <cellStyle name="40% - Accent6 2 2 2 2 2 4 2 3" xfId="22920" xr:uid="{00000000-0005-0000-0000-0000713A0000}"/>
    <cellStyle name="40% - Accent6 2 2 2 2 2 4 3" xfId="11334" xr:uid="{00000000-0005-0000-0000-0000723A0000}"/>
    <cellStyle name="40% - Accent6 2 2 2 2 2 4 4" xfId="20337" xr:uid="{00000000-0005-0000-0000-0000733A0000}"/>
    <cellStyle name="40% - Accent6 2 2 2 2 2 5" xfId="11335" xr:uid="{00000000-0005-0000-0000-0000743A0000}"/>
    <cellStyle name="40% - Accent6 2 2 2 2 2 5 2" xfId="11336" xr:uid="{00000000-0005-0000-0000-0000753A0000}"/>
    <cellStyle name="40% - Accent6 2 2 2 2 2 5 3" xfId="21630" xr:uid="{00000000-0005-0000-0000-0000763A0000}"/>
    <cellStyle name="40% - Accent6 2 2 2 2 2 6" xfId="11337" xr:uid="{00000000-0005-0000-0000-0000773A0000}"/>
    <cellStyle name="40% - Accent6 2 2 2 2 2 7" xfId="19036" xr:uid="{00000000-0005-0000-0000-0000783A0000}"/>
    <cellStyle name="40% - Accent6 2 2 2 2 3" xfId="11338" xr:uid="{00000000-0005-0000-0000-0000793A0000}"/>
    <cellStyle name="40% - Accent6 2 2 2 2 3 2" xfId="11339" xr:uid="{00000000-0005-0000-0000-00007A3A0000}"/>
    <cellStyle name="40% - Accent6 2 2 2 2 3 2 2" xfId="11340" xr:uid="{00000000-0005-0000-0000-00007B3A0000}"/>
    <cellStyle name="40% - Accent6 2 2 2 2 3 2 2 2" xfId="11341" xr:uid="{00000000-0005-0000-0000-00007C3A0000}"/>
    <cellStyle name="40% - Accent6 2 2 2 2 3 2 2 2 2" xfId="11342" xr:uid="{00000000-0005-0000-0000-00007D3A0000}"/>
    <cellStyle name="40% - Accent6 2 2 2 2 3 2 2 2 3" xfId="23726" xr:uid="{00000000-0005-0000-0000-00007E3A0000}"/>
    <cellStyle name="40% - Accent6 2 2 2 2 3 2 2 3" xfId="11343" xr:uid="{00000000-0005-0000-0000-00007F3A0000}"/>
    <cellStyle name="40% - Accent6 2 2 2 2 3 2 2 4" xfId="21143" xr:uid="{00000000-0005-0000-0000-0000803A0000}"/>
    <cellStyle name="40% - Accent6 2 2 2 2 3 2 3" xfId="11344" xr:uid="{00000000-0005-0000-0000-0000813A0000}"/>
    <cellStyle name="40% - Accent6 2 2 2 2 3 2 3 2" xfId="11345" xr:uid="{00000000-0005-0000-0000-0000823A0000}"/>
    <cellStyle name="40% - Accent6 2 2 2 2 3 2 3 3" xfId="22436" xr:uid="{00000000-0005-0000-0000-0000833A0000}"/>
    <cellStyle name="40% - Accent6 2 2 2 2 3 2 4" xfId="11346" xr:uid="{00000000-0005-0000-0000-0000843A0000}"/>
    <cellStyle name="40% - Accent6 2 2 2 2 3 2 5" xfId="19849" xr:uid="{00000000-0005-0000-0000-0000853A0000}"/>
    <cellStyle name="40% - Accent6 2 2 2 2 3 3" xfId="11347" xr:uid="{00000000-0005-0000-0000-0000863A0000}"/>
    <cellStyle name="40% - Accent6 2 2 2 2 3 3 2" xfId="11348" xr:uid="{00000000-0005-0000-0000-0000873A0000}"/>
    <cellStyle name="40% - Accent6 2 2 2 2 3 3 2 2" xfId="11349" xr:uid="{00000000-0005-0000-0000-0000883A0000}"/>
    <cellStyle name="40% - Accent6 2 2 2 2 3 3 2 3" xfId="23081" xr:uid="{00000000-0005-0000-0000-0000893A0000}"/>
    <cellStyle name="40% - Accent6 2 2 2 2 3 3 3" xfId="11350" xr:uid="{00000000-0005-0000-0000-00008A3A0000}"/>
    <cellStyle name="40% - Accent6 2 2 2 2 3 3 4" xfId="20498" xr:uid="{00000000-0005-0000-0000-00008B3A0000}"/>
    <cellStyle name="40% - Accent6 2 2 2 2 3 4" xfId="11351" xr:uid="{00000000-0005-0000-0000-00008C3A0000}"/>
    <cellStyle name="40% - Accent6 2 2 2 2 3 4 2" xfId="11352" xr:uid="{00000000-0005-0000-0000-00008D3A0000}"/>
    <cellStyle name="40% - Accent6 2 2 2 2 3 4 3" xfId="21791" xr:uid="{00000000-0005-0000-0000-00008E3A0000}"/>
    <cellStyle name="40% - Accent6 2 2 2 2 3 5" xfId="11353" xr:uid="{00000000-0005-0000-0000-00008F3A0000}"/>
    <cellStyle name="40% - Accent6 2 2 2 2 3 6" xfId="19201" xr:uid="{00000000-0005-0000-0000-0000903A0000}"/>
    <cellStyle name="40% - Accent6 2 2 2 2 4" xfId="11354" xr:uid="{00000000-0005-0000-0000-0000913A0000}"/>
    <cellStyle name="40% - Accent6 2 2 2 2 4 2" xfId="11355" xr:uid="{00000000-0005-0000-0000-0000923A0000}"/>
    <cellStyle name="40% - Accent6 2 2 2 2 4 2 2" xfId="11356" xr:uid="{00000000-0005-0000-0000-0000933A0000}"/>
    <cellStyle name="40% - Accent6 2 2 2 2 4 2 2 2" xfId="11357" xr:uid="{00000000-0005-0000-0000-0000943A0000}"/>
    <cellStyle name="40% - Accent6 2 2 2 2 4 2 2 3" xfId="23404" xr:uid="{00000000-0005-0000-0000-0000953A0000}"/>
    <cellStyle name="40% - Accent6 2 2 2 2 4 2 3" xfId="11358" xr:uid="{00000000-0005-0000-0000-0000963A0000}"/>
    <cellStyle name="40% - Accent6 2 2 2 2 4 2 4" xfId="20821" xr:uid="{00000000-0005-0000-0000-0000973A0000}"/>
    <cellStyle name="40% - Accent6 2 2 2 2 4 3" xfId="11359" xr:uid="{00000000-0005-0000-0000-0000983A0000}"/>
    <cellStyle name="40% - Accent6 2 2 2 2 4 3 2" xfId="11360" xr:uid="{00000000-0005-0000-0000-0000993A0000}"/>
    <cellStyle name="40% - Accent6 2 2 2 2 4 3 3" xfId="22114" xr:uid="{00000000-0005-0000-0000-00009A3A0000}"/>
    <cellStyle name="40% - Accent6 2 2 2 2 4 4" xfId="11361" xr:uid="{00000000-0005-0000-0000-00009B3A0000}"/>
    <cellStyle name="40% - Accent6 2 2 2 2 4 5" xfId="19527" xr:uid="{00000000-0005-0000-0000-00009C3A0000}"/>
    <cellStyle name="40% - Accent6 2 2 2 2 5" xfId="11362" xr:uid="{00000000-0005-0000-0000-00009D3A0000}"/>
    <cellStyle name="40% - Accent6 2 2 2 2 5 2" xfId="11363" xr:uid="{00000000-0005-0000-0000-00009E3A0000}"/>
    <cellStyle name="40% - Accent6 2 2 2 2 5 2 2" xfId="11364" xr:uid="{00000000-0005-0000-0000-00009F3A0000}"/>
    <cellStyle name="40% - Accent6 2 2 2 2 5 2 3" xfId="22759" xr:uid="{00000000-0005-0000-0000-0000A03A0000}"/>
    <cellStyle name="40% - Accent6 2 2 2 2 5 3" xfId="11365" xr:uid="{00000000-0005-0000-0000-0000A13A0000}"/>
    <cellStyle name="40% - Accent6 2 2 2 2 5 4" xfId="20176" xr:uid="{00000000-0005-0000-0000-0000A23A0000}"/>
    <cellStyle name="40% - Accent6 2 2 2 2 6" xfId="11366" xr:uid="{00000000-0005-0000-0000-0000A33A0000}"/>
    <cellStyle name="40% - Accent6 2 2 2 2 6 2" xfId="11367" xr:uid="{00000000-0005-0000-0000-0000A43A0000}"/>
    <cellStyle name="40% - Accent6 2 2 2 2 6 3" xfId="21469" xr:uid="{00000000-0005-0000-0000-0000A53A0000}"/>
    <cellStyle name="40% - Accent6 2 2 2 2 7" xfId="11368" xr:uid="{00000000-0005-0000-0000-0000A63A0000}"/>
    <cellStyle name="40% - Accent6 2 2 2 2 8" xfId="18871" xr:uid="{00000000-0005-0000-0000-0000A73A0000}"/>
    <cellStyle name="40% - Accent6 2 2 2 3" xfId="11369" xr:uid="{00000000-0005-0000-0000-0000A83A0000}"/>
    <cellStyle name="40% - Accent6 2 2 2 3 2" xfId="11370" xr:uid="{00000000-0005-0000-0000-0000A93A0000}"/>
    <cellStyle name="40% - Accent6 2 2 2 3 2 2" xfId="11371" xr:uid="{00000000-0005-0000-0000-0000AA3A0000}"/>
    <cellStyle name="40% - Accent6 2 2 2 3 2 2 2" xfId="11372" xr:uid="{00000000-0005-0000-0000-0000AB3A0000}"/>
    <cellStyle name="40% - Accent6 2 2 2 3 2 2 2 2" xfId="11373" xr:uid="{00000000-0005-0000-0000-0000AC3A0000}"/>
    <cellStyle name="40% - Accent6 2 2 2 3 2 2 2 2 2" xfId="11374" xr:uid="{00000000-0005-0000-0000-0000AD3A0000}"/>
    <cellStyle name="40% - Accent6 2 2 2 3 2 2 2 2 3" xfId="23807" xr:uid="{00000000-0005-0000-0000-0000AE3A0000}"/>
    <cellStyle name="40% - Accent6 2 2 2 3 2 2 2 3" xfId="11375" xr:uid="{00000000-0005-0000-0000-0000AF3A0000}"/>
    <cellStyle name="40% - Accent6 2 2 2 3 2 2 2 4" xfId="21224" xr:uid="{00000000-0005-0000-0000-0000B03A0000}"/>
    <cellStyle name="40% - Accent6 2 2 2 3 2 2 3" xfId="11376" xr:uid="{00000000-0005-0000-0000-0000B13A0000}"/>
    <cellStyle name="40% - Accent6 2 2 2 3 2 2 3 2" xfId="11377" xr:uid="{00000000-0005-0000-0000-0000B23A0000}"/>
    <cellStyle name="40% - Accent6 2 2 2 3 2 2 3 3" xfId="22517" xr:uid="{00000000-0005-0000-0000-0000B33A0000}"/>
    <cellStyle name="40% - Accent6 2 2 2 3 2 2 4" xfId="11378" xr:uid="{00000000-0005-0000-0000-0000B43A0000}"/>
    <cellStyle name="40% - Accent6 2 2 2 3 2 2 5" xfId="19930" xr:uid="{00000000-0005-0000-0000-0000B53A0000}"/>
    <cellStyle name="40% - Accent6 2 2 2 3 2 3" xfId="11379" xr:uid="{00000000-0005-0000-0000-0000B63A0000}"/>
    <cellStyle name="40% - Accent6 2 2 2 3 2 3 2" xfId="11380" xr:uid="{00000000-0005-0000-0000-0000B73A0000}"/>
    <cellStyle name="40% - Accent6 2 2 2 3 2 3 2 2" xfId="11381" xr:uid="{00000000-0005-0000-0000-0000B83A0000}"/>
    <cellStyle name="40% - Accent6 2 2 2 3 2 3 2 3" xfId="23162" xr:uid="{00000000-0005-0000-0000-0000B93A0000}"/>
    <cellStyle name="40% - Accent6 2 2 2 3 2 3 3" xfId="11382" xr:uid="{00000000-0005-0000-0000-0000BA3A0000}"/>
    <cellStyle name="40% - Accent6 2 2 2 3 2 3 4" xfId="20579" xr:uid="{00000000-0005-0000-0000-0000BB3A0000}"/>
    <cellStyle name="40% - Accent6 2 2 2 3 2 4" xfId="11383" xr:uid="{00000000-0005-0000-0000-0000BC3A0000}"/>
    <cellStyle name="40% - Accent6 2 2 2 3 2 4 2" xfId="11384" xr:uid="{00000000-0005-0000-0000-0000BD3A0000}"/>
    <cellStyle name="40% - Accent6 2 2 2 3 2 4 3" xfId="21872" xr:uid="{00000000-0005-0000-0000-0000BE3A0000}"/>
    <cellStyle name="40% - Accent6 2 2 2 3 2 5" xfId="11385" xr:uid="{00000000-0005-0000-0000-0000BF3A0000}"/>
    <cellStyle name="40% - Accent6 2 2 2 3 2 6" xfId="19282" xr:uid="{00000000-0005-0000-0000-0000C03A0000}"/>
    <cellStyle name="40% - Accent6 2 2 2 3 3" xfId="11386" xr:uid="{00000000-0005-0000-0000-0000C13A0000}"/>
    <cellStyle name="40% - Accent6 2 2 2 3 3 2" xfId="11387" xr:uid="{00000000-0005-0000-0000-0000C23A0000}"/>
    <cellStyle name="40% - Accent6 2 2 2 3 3 2 2" xfId="11388" xr:uid="{00000000-0005-0000-0000-0000C33A0000}"/>
    <cellStyle name="40% - Accent6 2 2 2 3 3 2 2 2" xfId="11389" xr:uid="{00000000-0005-0000-0000-0000C43A0000}"/>
    <cellStyle name="40% - Accent6 2 2 2 3 3 2 2 3" xfId="23485" xr:uid="{00000000-0005-0000-0000-0000C53A0000}"/>
    <cellStyle name="40% - Accent6 2 2 2 3 3 2 3" xfId="11390" xr:uid="{00000000-0005-0000-0000-0000C63A0000}"/>
    <cellStyle name="40% - Accent6 2 2 2 3 3 2 4" xfId="20902" xr:uid="{00000000-0005-0000-0000-0000C73A0000}"/>
    <cellStyle name="40% - Accent6 2 2 2 3 3 3" xfId="11391" xr:uid="{00000000-0005-0000-0000-0000C83A0000}"/>
    <cellStyle name="40% - Accent6 2 2 2 3 3 3 2" xfId="11392" xr:uid="{00000000-0005-0000-0000-0000C93A0000}"/>
    <cellStyle name="40% - Accent6 2 2 2 3 3 3 3" xfId="22195" xr:uid="{00000000-0005-0000-0000-0000CA3A0000}"/>
    <cellStyle name="40% - Accent6 2 2 2 3 3 4" xfId="11393" xr:uid="{00000000-0005-0000-0000-0000CB3A0000}"/>
    <cellStyle name="40% - Accent6 2 2 2 3 3 5" xfId="19608" xr:uid="{00000000-0005-0000-0000-0000CC3A0000}"/>
    <cellStyle name="40% - Accent6 2 2 2 3 4" xfId="11394" xr:uid="{00000000-0005-0000-0000-0000CD3A0000}"/>
    <cellStyle name="40% - Accent6 2 2 2 3 4 2" xfId="11395" xr:uid="{00000000-0005-0000-0000-0000CE3A0000}"/>
    <cellStyle name="40% - Accent6 2 2 2 3 4 2 2" xfId="11396" xr:uid="{00000000-0005-0000-0000-0000CF3A0000}"/>
    <cellStyle name="40% - Accent6 2 2 2 3 4 2 3" xfId="22840" xr:uid="{00000000-0005-0000-0000-0000D03A0000}"/>
    <cellStyle name="40% - Accent6 2 2 2 3 4 3" xfId="11397" xr:uid="{00000000-0005-0000-0000-0000D13A0000}"/>
    <cellStyle name="40% - Accent6 2 2 2 3 4 4" xfId="20257" xr:uid="{00000000-0005-0000-0000-0000D23A0000}"/>
    <cellStyle name="40% - Accent6 2 2 2 3 5" xfId="11398" xr:uid="{00000000-0005-0000-0000-0000D33A0000}"/>
    <cellStyle name="40% - Accent6 2 2 2 3 5 2" xfId="11399" xr:uid="{00000000-0005-0000-0000-0000D43A0000}"/>
    <cellStyle name="40% - Accent6 2 2 2 3 5 3" xfId="21550" xr:uid="{00000000-0005-0000-0000-0000D53A0000}"/>
    <cellStyle name="40% - Accent6 2 2 2 3 6" xfId="11400" xr:uid="{00000000-0005-0000-0000-0000D63A0000}"/>
    <cellStyle name="40% - Accent6 2 2 2 3 7" xfId="18956" xr:uid="{00000000-0005-0000-0000-0000D73A0000}"/>
    <cellStyle name="40% - Accent6 2 2 2 4" xfId="11401" xr:uid="{00000000-0005-0000-0000-0000D83A0000}"/>
    <cellStyle name="40% - Accent6 2 2 2 4 2" xfId="11402" xr:uid="{00000000-0005-0000-0000-0000D93A0000}"/>
    <cellStyle name="40% - Accent6 2 2 2 4 2 2" xfId="11403" xr:uid="{00000000-0005-0000-0000-0000DA3A0000}"/>
    <cellStyle name="40% - Accent6 2 2 2 4 2 2 2" xfId="11404" xr:uid="{00000000-0005-0000-0000-0000DB3A0000}"/>
    <cellStyle name="40% - Accent6 2 2 2 4 2 2 2 2" xfId="11405" xr:uid="{00000000-0005-0000-0000-0000DC3A0000}"/>
    <cellStyle name="40% - Accent6 2 2 2 4 2 2 2 3" xfId="23646" xr:uid="{00000000-0005-0000-0000-0000DD3A0000}"/>
    <cellStyle name="40% - Accent6 2 2 2 4 2 2 3" xfId="11406" xr:uid="{00000000-0005-0000-0000-0000DE3A0000}"/>
    <cellStyle name="40% - Accent6 2 2 2 4 2 2 4" xfId="21063" xr:uid="{00000000-0005-0000-0000-0000DF3A0000}"/>
    <cellStyle name="40% - Accent6 2 2 2 4 2 3" xfId="11407" xr:uid="{00000000-0005-0000-0000-0000E03A0000}"/>
    <cellStyle name="40% - Accent6 2 2 2 4 2 3 2" xfId="11408" xr:uid="{00000000-0005-0000-0000-0000E13A0000}"/>
    <cellStyle name="40% - Accent6 2 2 2 4 2 3 3" xfId="22356" xr:uid="{00000000-0005-0000-0000-0000E23A0000}"/>
    <cellStyle name="40% - Accent6 2 2 2 4 2 4" xfId="11409" xr:uid="{00000000-0005-0000-0000-0000E33A0000}"/>
    <cellStyle name="40% - Accent6 2 2 2 4 2 5" xfId="19769" xr:uid="{00000000-0005-0000-0000-0000E43A0000}"/>
    <cellStyle name="40% - Accent6 2 2 2 4 3" xfId="11410" xr:uid="{00000000-0005-0000-0000-0000E53A0000}"/>
    <cellStyle name="40% - Accent6 2 2 2 4 3 2" xfId="11411" xr:uid="{00000000-0005-0000-0000-0000E63A0000}"/>
    <cellStyle name="40% - Accent6 2 2 2 4 3 2 2" xfId="11412" xr:uid="{00000000-0005-0000-0000-0000E73A0000}"/>
    <cellStyle name="40% - Accent6 2 2 2 4 3 2 3" xfId="23001" xr:uid="{00000000-0005-0000-0000-0000E83A0000}"/>
    <cellStyle name="40% - Accent6 2 2 2 4 3 3" xfId="11413" xr:uid="{00000000-0005-0000-0000-0000E93A0000}"/>
    <cellStyle name="40% - Accent6 2 2 2 4 3 4" xfId="20418" xr:uid="{00000000-0005-0000-0000-0000EA3A0000}"/>
    <cellStyle name="40% - Accent6 2 2 2 4 4" xfId="11414" xr:uid="{00000000-0005-0000-0000-0000EB3A0000}"/>
    <cellStyle name="40% - Accent6 2 2 2 4 4 2" xfId="11415" xr:uid="{00000000-0005-0000-0000-0000EC3A0000}"/>
    <cellStyle name="40% - Accent6 2 2 2 4 4 3" xfId="21711" xr:uid="{00000000-0005-0000-0000-0000ED3A0000}"/>
    <cellStyle name="40% - Accent6 2 2 2 4 5" xfId="11416" xr:uid="{00000000-0005-0000-0000-0000EE3A0000}"/>
    <cellStyle name="40% - Accent6 2 2 2 4 6" xfId="19121" xr:uid="{00000000-0005-0000-0000-0000EF3A0000}"/>
    <cellStyle name="40% - Accent6 2 2 2 5" xfId="11417" xr:uid="{00000000-0005-0000-0000-0000F03A0000}"/>
    <cellStyle name="40% - Accent6 2 2 2 5 2" xfId="11418" xr:uid="{00000000-0005-0000-0000-0000F13A0000}"/>
    <cellStyle name="40% - Accent6 2 2 2 5 2 2" xfId="11419" xr:uid="{00000000-0005-0000-0000-0000F23A0000}"/>
    <cellStyle name="40% - Accent6 2 2 2 5 2 2 2" xfId="11420" xr:uid="{00000000-0005-0000-0000-0000F33A0000}"/>
    <cellStyle name="40% - Accent6 2 2 2 5 2 2 3" xfId="23323" xr:uid="{00000000-0005-0000-0000-0000F43A0000}"/>
    <cellStyle name="40% - Accent6 2 2 2 5 2 3" xfId="11421" xr:uid="{00000000-0005-0000-0000-0000F53A0000}"/>
    <cellStyle name="40% - Accent6 2 2 2 5 2 4" xfId="20740" xr:uid="{00000000-0005-0000-0000-0000F63A0000}"/>
    <cellStyle name="40% - Accent6 2 2 2 5 3" xfId="11422" xr:uid="{00000000-0005-0000-0000-0000F73A0000}"/>
    <cellStyle name="40% - Accent6 2 2 2 5 3 2" xfId="11423" xr:uid="{00000000-0005-0000-0000-0000F83A0000}"/>
    <cellStyle name="40% - Accent6 2 2 2 5 3 3" xfId="22033" xr:uid="{00000000-0005-0000-0000-0000F93A0000}"/>
    <cellStyle name="40% - Accent6 2 2 2 5 4" xfId="11424" xr:uid="{00000000-0005-0000-0000-0000FA3A0000}"/>
    <cellStyle name="40% - Accent6 2 2 2 5 5" xfId="19447" xr:uid="{00000000-0005-0000-0000-0000FB3A0000}"/>
    <cellStyle name="40% - Accent6 2 2 2 6" xfId="11425" xr:uid="{00000000-0005-0000-0000-0000FC3A0000}"/>
    <cellStyle name="40% - Accent6 2 2 2 6 2" xfId="11426" xr:uid="{00000000-0005-0000-0000-0000FD3A0000}"/>
    <cellStyle name="40% - Accent6 2 2 2 6 2 2" xfId="11427" xr:uid="{00000000-0005-0000-0000-0000FE3A0000}"/>
    <cellStyle name="40% - Accent6 2 2 2 6 2 3" xfId="22678" xr:uid="{00000000-0005-0000-0000-0000FF3A0000}"/>
    <cellStyle name="40% - Accent6 2 2 2 6 3" xfId="11428" xr:uid="{00000000-0005-0000-0000-0000003B0000}"/>
    <cellStyle name="40% - Accent6 2 2 2 6 4" xfId="20095" xr:uid="{00000000-0005-0000-0000-0000013B0000}"/>
    <cellStyle name="40% - Accent6 2 2 2 7" xfId="11429" xr:uid="{00000000-0005-0000-0000-0000023B0000}"/>
    <cellStyle name="40% - Accent6 2 2 2 7 2" xfId="11430" xr:uid="{00000000-0005-0000-0000-0000033B0000}"/>
    <cellStyle name="40% - Accent6 2 2 2 7 3" xfId="21388" xr:uid="{00000000-0005-0000-0000-0000043B0000}"/>
    <cellStyle name="40% - Accent6 2 2 2 8" xfId="11431" xr:uid="{00000000-0005-0000-0000-0000053B0000}"/>
    <cellStyle name="40% - Accent6 2 2 2 9" xfId="18774" xr:uid="{00000000-0005-0000-0000-0000063B0000}"/>
    <cellStyle name="40% - Accent6 2 2 3" xfId="11432" xr:uid="{00000000-0005-0000-0000-0000073B0000}"/>
    <cellStyle name="40% - Accent6 2 2 3 2" xfId="11433" xr:uid="{00000000-0005-0000-0000-0000083B0000}"/>
    <cellStyle name="40% - Accent6 2 2 3 2 2" xfId="11434" xr:uid="{00000000-0005-0000-0000-0000093B0000}"/>
    <cellStyle name="40% - Accent6 2 2 3 2 2 2" xfId="11435" xr:uid="{00000000-0005-0000-0000-00000A3B0000}"/>
    <cellStyle name="40% - Accent6 2 2 3 2 2 2 2" xfId="11436" xr:uid="{00000000-0005-0000-0000-00000B3B0000}"/>
    <cellStyle name="40% - Accent6 2 2 3 2 2 2 2 2" xfId="11437" xr:uid="{00000000-0005-0000-0000-00000C3B0000}"/>
    <cellStyle name="40% - Accent6 2 2 3 2 2 2 2 2 2" xfId="11438" xr:uid="{00000000-0005-0000-0000-00000D3B0000}"/>
    <cellStyle name="40% - Accent6 2 2 3 2 2 2 2 2 3" xfId="23847" xr:uid="{00000000-0005-0000-0000-00000E3B0000}"/>
    <cellStyle name="40% - Accent6 2 2 3 2 2 2 2 3" xfId="11439" xr:uid="{00000000-0005-0000-0000-00000F3B0000}"/>
    <cellStyle name="40% - Accent6 2 2 3 2 2 2 2 4" xfId="21264" xr:uid="{00000000-0005-0000-0000-0000103B0000}"/>
    <cellStyle name="40% - Accent6 2 2 3 2 2 2 3" xfId="11440" xr:uid="{00000000-0005-0000-0000-0000113B0000}"/>
    <cellStyle name="40% - Accent6 2 2 3 2 2 2 3 2" xfId="11441" xr:uid="{00000000-0005-0000-0000-0000123B0000}"/>
    <cellStyle name="40% - Accent6 2 2 3 2 2 2 3 3" xfId="22557" xr:uid="{00000000-0005-0000-0000-0000133B0000}"/>
    <cellStyle name="40% - Accent6 2 2 3 2 2 2 4" xfId="11442" xr:uid="{00000000-0005-0000-0000-0000143B0000}"/>
    <cellStyle name="40% - Accent6 2 2 3 2 2 2 5" xfId="19970" xr:uid="{00000000-0005-0000-0000-0000153B0000}"/>
    <cellStyle name="40% - Accent6 2 2 3 2 2 3" xfId="11443" xr:uid="{00000000-0005-0000-0000-0000163B0000}"/>
    <cellStyle name="40% - Accent6 2 2 3 2 2 3 2" xfId="11444" xr:uid="{00000000-0005-0000-0000-0000173B0000}"/>
    <cellStyle name="40% - Accent6 2 2 3 2 2 3 2 2" xfId="11445" xr:uid="{00000000-0005-0000-0000-0000183B0000}"/>
    <cellStyle name="40% - Accent6 2 2 3 2 2 3 2 3" xfId="23202" xr:uid="{00000000-0005-0000-0000-0000193B0000}"/>
    <cellStyle name="40% - Accent6 2 2 3 2 2 3 3" xfId="11446" xr:uid="{00000000-0005-0000-0000-00001A3B0000}"/>
    <cellStyle name="40% - Accent6 2 2 3 2 2 3 4" xfId="20619" xr:uid="{00000000-0005-0000-0000-00001B3B0000}"/>
    <cellStyle name="40% - Accent6 2 2 3 2 2 4" xfId="11447" xr:uid="{00000000-0005-0000-0000-00001C3B0000}"/>
    <cellStyle name="40% - Accent6 2 2 3 2 2 4 2" xfId="11448" xr:uid="{00000000-0005-0000-0000-00001D3B0000}"/>
    <cellStyle name="40% - Accent6 2 2 3 2 2 4 3" xfId="21912" xr:uid="{00000000-0005-0000-0000-00001E3B0000}"/>
    <cellStyle name="40% - Accent6 2 2 3 2 2 5" xfId="11449" xr:uid="{00000000-0005-0000-0000-00001F3B0000}"/>
    <cellStyle name="40% - Accent6 2 2 3 2 2 6" xfId="19322" xr:uid="{00000000-0005-0000-0000-0000203B0000}"/>
    <cellStyle name="40% - Accent6 2 2 3 2 3" xfId="11450" xr:uid="{00000000-0005-0000-0000-0000213B0000}"/>
    <cellStyle name="40% - Accent6 2 2 3 2 3 2" xfId="11451" xr:uid="{00000000-0005-0000-0000-0000223B0000}"/>
    <cellStyle name="40% - Accent6 2 2 3 2 3 2 2" xfId="11452" xr:uid="{00000000-0005-0000-0000-0000233B0000}"/>
    <cellStyle name="40% - Accent6 2 2 3 2 3 2 2 2" xfId="11453" xr:uid="{00000000-0005-0000-0000-0000243B0000}"/>
    <cellStyle name="40% - Accent6 2 2 3 2 3 2 2 3" xfId="23525" xr:uid="{00000000-0005-0000-0000-0000253B0000}"/>
    <cellStyle name="40% - Accent6 2 2 3 2 3 2 3" xfId="11454" xr:uid="{00000000-0005-0000-0000-0000263B0000}"/>
    <cellStyle name="40% - Accent6 2 2 3 2 3 2 4" xfId="20942" xr:uid="{00000000-0005-0000-0000-0000273B0000}"/>
    <cellStyle name="40% - Accent6 2 2 3 2 3 3" xfId="11455" xr:uid="{00000000-0005-0000-0000-0000283B0000}"/>
    <cellStyle name="40% - Accent6 2 2 3 2 3 3 2" xfId="11456" xr:uid="{00000000-0005-0000-0000-0000293B0000}"/>
    <cellStyle name="40% - Accent6 2 2 3 2 3 3 3" xfId="22235" xr:uid="{00000000-0005-0000-0000-00002A3B0000}"/>
    <cellStyle name="40% - Accent6 2 2 3 2 3 4" xfId="11457" xr:uid="{00000000-0005-0000-0000-00002B3B0000}"/>
    <cellStyle name="40% - Accent6 2 2 3 2 3 5" xfId="19648" xr:uid="{00000000-0005-0000-0000-00002C3B0000}"/>
    <cellStyle name="40% - Accent6 2 2 3 2 4" xfId="11458" xr:uid="{00000000-0005-0000-0000-00002D3B0000}"/>
    <cellStyle name="40% - Accent6 2 2 3 2 4 2" xfId="11459" xr:uid="{00000000-0005-0000-0000-00002E3B0000}"/>
    <cellStyle name="40% - Accent6 2 2 3 2 4 2 2" xfId="11460" xr:uid="{00000000-0005-0000-0000-00002F3B0000}"/>
    <cellStyle name="40% - Accent6 2 2 3 2 4 2 3" xfId="22880" xr:uid="{00000000-0005-0000-0000-0000303B0000}"/>
    <cellStyle name="40% - Accent6 2 2 3 2 4 3" xfId="11461" xr:uid="{00000000-0005-0000-0000-0000313B0000}"/>
    <cellStyle name="40% - Accent6 2 2 3 2 4 4" xfId="20297" xr:uid="{00000000-0005-0000-0000-0000323B0000}"/>
    <cellStyle name="40% - Accent6 2 2 3 2 5" xfId="11462" xr:uid="{00000000-0005-0000-0000-0000333B0000}"/>
    <cellStyle name="40% - Accent6 2 2 3 2 5 2" xfId="11463" xr:uid="{00000000-0005-0000-0000-0000343B0000}"/>
    <cellStyle name="40% - Accent6 2 2 3 2 5 3" xfId="21590" xr:uid="{00000000-0005-0000-0000-0000353B0000}"/>
    <cellStyle name="40% - Accent6 2 2 3 2 6" xfId="11464" xr:uid="{00000000-0005-0000-0000-0000363B0000}"/>
    <cellStyle name="40% - Accent6 2 2 3 2 7" xfId="18996" xr:uid="{00000000-0005-0000-0000-0000373B0000}"/>
    <cellStyle name="40% - Accent6 2 2 3 3" xfId="11465" xr:uid="{00000000-0005-0000-0000-0000383B0000}"/>
    <cellStyle name="40% - Accent6 2 2 3 3 2" xfId="11466" xr:uid="{00000000-0005-0000-0000-0000393B0000}"/>
    <cellStyle name="40% - Accent6 2 2 3 3 2 2" xfId="11467" xr:uid="{00000000-0005-0000-0000-00003A3B0000}"/>
    <cellStyle name="40% - Accent6 2 2 3 3 2 2 2" xfId="11468" xr:uid="{00000000-0005-0000-0000-00003B3B0000}"/>
    <cellStyle name="40% - Accent6 2 2 3 3 2 2 2 2" xfId="11469" xr:uid="{00000000-0005-0000-0000-00003C3B0000}"/>
    <cellStyle name="40% - Accent6 2 2 3 3 2 2 2 3" xfId="23686" xr:uid="{00000000-0005-0000-0000-00003D3B0000}"/>
    <cellStyle name="40% - Accent6 2 2 3 3 2 2 3" xfId="11470" xr:uid="{00000000-0005-0000-0000-00003E3B0000}"/>
    <cellStyle name="40% - Accent6 2 2 3 3 2 2 4" xfId="21103" xr:uid="{00000000-0005-0000-0000-00003F3B0000}"/>
    <cellStyle name="40% - Accent6 2 2 3 3 2 3" xfId="11471" xr:uid="{00000000-0005-0000-0000-0000403B0000}"/>
    <cellStyle name="40% - Accent6 2 2 3 3 2 3 2" xfId="11472" xr:uid="{00000000-0005-0000-0000-0000413B0000}"/>
    <cellStyle name="40% - Accent6 2 2 3 3 2 3 3" xfId="22396" xr:uid="{00000000-0005-0000-0000-0000423B0000}"/>
    <cellStyle name="40% - Accent6 2 2 3 3 2 4" xfId="11473" xr:uid="{00000000-0005-0000-0000-0000433B0000}"/>
    <cellStyle name="40% - Accent6 2 2 3 3 2 5" xfId="19809" xr:uid="{00000000-0005-0000-0000-0000443B0000}"/>
    <cellStyle name="40% - Accent6 2 2 3 3 3" xfId="11474" xr:uid="{00000000-0005-0000-0000-0000453B0000}"/>
    <cellStyle name="40% - Accent6 2 2 3 3 3 2" xfId="11475" xr:uid="{00000000-0005-0000-0000-0000463B0000}"/>
    <cellStyle name="40% - Accent6 2 2 3 3 3 2 2" xfId="11476" xr:uid="{00000000-0005-0000-0000-0000473B0000}"/>
    <cellStyle name="40% - Accent6 2 2 3 3 3 2 3" xfId="23041" xr:uid="{00000000-0005-0000-0000-0000483B0000}"/>
    <cellStyle name="40% - Accent6 2 2 3 3 3 3" xfId="11477" xr:uid="{00000000-0005-0000-0000-0000493B0000}"/>
    <cellStyle name="40% - Accent6 2 2 3 3 3 4" xfId="20458" xr:uid="{00000000-0005-0000-0000-00004A3B0000}"/>
    <cellStyle name="40% - Accent6 2 2 3 3 4" xfId="11478" xr:uid="{00000000-0005-0000-0000-00004B3B0000}"/>
    <cellStyle name="40% - Accent6 2 2 3 3 4 2" xfId="11479" xr:uid="{00000000-0005-0000-0000-00004C3B0000}"/>
    <cellStyle name="40% - Accent6 2 2 3 3 4 3" xfId="21751" xr:uid="{00000000-0005-0000-0000-00004D3B0000}"/>
    <cellStyle name="40% - Accent6 2 2 3 3 5" xfId="11480" xr:uid="{00000000-0005-0000-0000-00004E3B0000}"/>
    <cellStyle name="40% - Accent6 2 2 3 3 6" xfId="19161" xr:uid="{00000000-0005-0000-0000-00004F3B0000}"/>
    <cellStyle name="40% - Accent6 2 2 3 4" xfId="11481" xr:uid="{00000000-0005-0000-0000-0000503B0000}"/>
    <cellStyle name="40% - Accent6 2 2 3 4 2" xfId="11482" xr:uid="{00000000-0005-0000-0000-0000513B0000}"/>
    <cellStyle name="40% - Accent6 2 2 3 4 2 2" xfId="11483" xr:uid="{00000000-0005-0000-0000-0000523B0000}"/>
    <cellStyle name="40% - Accent6 2 2 3 4 2 2 2" xfId="11484" xr:uid="{00000000-0005-0000-0000-0000533B0000}"/>
    <cellStyle name="40% - Accent6 2 2 3 4 2 2 3" xfId="23364" xr:uid="{00000000-0005-0000-0000-0000543B0000}"/>
    <cellStyle name="40% - Accent6 2 2 3 4 2 3" xfId="11485" xr:uid="{00000000-0005-0000-0000-0000553B0000}"/>
    <cellStyle name="40% - Accent6 2 2 3 4 2 4" xfId="20781" xr:uid="{00000000-0005-0000-0000-0000563B0000}"/>
    <cellStyle name="40% - Accent6 2 2 3 4 3" xfId="11486" xr:uid="{00000000-0005-0000-0000-0000573B0000}"/>
    <cellStyle name="40% - Accent6 2 2 3 4 3 2" xfId="11487" xr:uid="{00000000-0005-0000-0000-0000583B0000}"/>
    <cellStyle name="40% - Accent6 2 2 3 4 3 3" xfId="22074" xr:uid="{00000000-0005-0000-0000-0000593B0000}"/>
    <cellStyle name="40% - Accent6 2 2 3 4 4" xfId="11488" xr:uid="{00000000-0005-0000-0000-00005A3B0000}"/>
    <cellStyle name="40% - Accent6 2 2 3 4 5" xfId="19487" xr:uid="{00000000-0005-0000-0000-00005B3B0000}"/>
    <cellStyle name="40% - Accent6 2 2 3 5" xfId="11489" xr:uid="{00000000-0005-0000-0000-00005C3B0000}"/>
    <cellStyle name="40% - Accent6 2 2 3 5 2" xfId="11490" xr:uid="{00000000-0005-0000-0000-00005D3B0000}"/>
    <cellStyle name="40% - Accent6 2 2 3 5 2 2" xfId="11491" xr:uid="{00000000-0005-0000-0000-00005E3B0000}"/>
    <cellStyle name="40% - Accent6 2 2 3 5 2 3" xfId="22719" xr:uid="{00000000-0005-0000-0000-00005F3B0000}"/>
    <cellStyle name="40% - Accent6 2 2 3 5 3" xfId="11492" xr:uid="{00000000-0005-0000-0000-0000603B0000}"/>
    <cellStyle name="40% - Accent6 2 2 3 5 4" xfId="20136" xr:uid="{00000000-0005-0000-0000-0000613B0000}"/>
    <cellStyle name="40% - Accent6 2 2 3 6" xfId="11493" xr:uid="{00000000-0005-0000-0000-0000623B0000}"/>
    <cellStyle name="40% - Accent6 2 2 3 6 2" xfId="11494" xr:uid="{00000000-0005-0000-0000-0000633B0000}"/>
    <cellStyle name="40% - Accent6 2 2 3 6 3" xfId="21429" xr:uid="{00000000-0005-0000-0000-0000643B0000}"/>
    <cellStyle name="40% - Accent6 2 2 3 7" xfId="11495" xr:uid="{00000000-0005-0000-0000-0000653B0000}"/>
    <cellStyle name="40% - Accent6 2 2 3 8" xfId="18830" xr:uid="{00000000-0005-0000-0000-0000663B0000}"/>
    <cellStyle name="40% - Accent6 2 2 4" xfId="11496" xr:uid="{00000000-0005-0000-0000-0000673B0000}"/>
    <cellStyle name="40% - Accent6 2 2 4 2" xfId="11497" xr:uid="{00000000-0005-0000-0000-0000683B0000}"/>
    <cellStyle name="40% - Accent6 2 2 4 2 2" xfId="11498" xr:uid="{00000000-0005-0000-0000-0000693B0000}"/>
    <cellStyle name="40% - Accent6 2 2 4 2 2 2" xfId="11499" xr:uid="{00000000-0005-0000-0000-00006A3B0000}"/>
    <cellStyle name="40% - Accent6 2 2 4 2 2 2 2" xfId="11500" xr:uid="{00000000-0005-0000-0000-00006B3B0000}"/>
    <cellStyle name="40% - Accent6 2 2 4 2 2 2 2 2" xfId="11501" xr:uid="{00000000-0005-0000-0000-00006C3B0000}"/>
    <cellStyle name="40% - Accent6 2 2 4 2 2 2 2 3" xfId="23767" xr:uid="{00000000-0005-0000-0000-00006D3B0000}"/>
    <cellStyle name="40% - Accent6 2 2 4 2 2 2 3" xfId="11502" xr:uid="{00000000-0005-0000-0000-00006E3B0000}"/>
    <cellStyle name="40% - Accent6 2 2 4 2 2 2 4" xfId="21184" xr:uid="{00000000-0005-0000-0000-00006F3B0000}"/>
    <cellStyle name="40% - Accent6 2 2 4 2 2 3" xfId="11503" xr:uid="{00000000-0005-0000-0000-0000703B0000}"/>
    <cellStyle name="40% - Accent6 2 2 4 2 2 3 2" xfId="11504" xr:uid="{00000000-0005-0000-0000-0000713B0000}"/>
    <cellStyle name="40% - Accent6 2 2 4 2 2 3 3" xfId="22477" xr:uid="{00000000-0005-0000-0000-0000723B0000}"/>
    <cellStyle name="40% - Accent6 2 2 4 2 2 4" xfId="11505" xr:uid="{00000000-0005-0000-0000-0000733B0000}"/>
    <cellStyle name="40% - Accent6 2 2 4 2 2 5" xfId="19890" xr:uid="{00000000-0005-0000-0000-0000743B0000}"/>
    <cellStyle name="40% - Accent6 2 2 4 2 3" xfId="11506" xr:uid="{00000000-0005-0000-0000-0000753B0000}"/>
    <cellStyle name="40% - Accent6 2 2 4 2 3 2" xfId="11507" xr:uid="{00000000-0005-0000-0000-0000763B0000}"/>
    <cellStyle name="40% - Accent6 2 2 4 2 3 2 2" xfId="11508" xr:uid="{00000000-0005-0000-0000-0000773B0000}"/>
    <cellStyle name="40% - Accent6 2 2 4 2 3 2 3" xfId="23122" xr:uid="{00000000-0005-0000-0000-0000783B0000}"/>
    <cellStyle name="40% - Accent6 2 2 4 2 3 3" xfId="11509" xr:uid="{00000000-0005-0000-0000-0000793B0000}"/>
    <cellStyle name="40% - Accent6 2 2 4 2 3 4" xfId="20539" xr:uid="{00000000-0005-0000-0000-00007A3B0000}"/>
    <cellStyle name="40% - Accent6 2 2 4 2 4" xfId="11510" xr:uid="{00000000-0005-0000-0000-00007B3B0000}"/>
    <cellStyle name="40% - Accent6 2 2 4 2 4 2" xfId="11511" xr:uid="{00000000-0005-0000-0000-00007C3B0000}"/>
    <cellStyle name="40% - Accent6 2 2 4 2 4 3" xfId="21832" xr:uid="{00000000-0005-0000-0000-00007D3B0000}"/>
    <cellStyle name="40% - Accent6 2 2 4 2 5" xfId="11512" xr:uid="{00000000-0005-0000-0000-00007E3B0000}"/>
    <cellStyle name="40% - Accent6 2 2 4 2 6" xfId="19242" xr:uid="{00000000-0005-0000-0000-00007F3B0000}"/>
    <cellStyle name="40% - Accent6 2 2 4 3" xfId="11513" xr:uid="{00000000-0005-0000-0000-0000803B0000}"/>
    <cellStyle name="40% - Accent6 2 2 4 3 2" xfId="11514" xr:uid="{00000000-0005-0000-0000-0000813B0000}"/>
    <cellStyle name="40% - Accent6 2 2 4 3 2 2" xfId="11515" xr:uid="{00000000-0005-0000-0000-0000823B0000}"/>
    <cellStyle name="40% - Accent6 2 2 4 3 2 2 2" xfId="11516" xr:uid="{00000000-0005-0000-0000-0000833B0000}"/>
    <cellStyle name="40% - Accent6 2 2 4 3 2 2 3" xfId="23445" xr:uid="{00000000-0005-0000-0000-0000843B0000}"/>
    <cellStyle name="40% - Accent6 2 2 4 3 2 3" xfId="11517" xr:uid="{00000000-0005-0000-0000-0000853B0000}"/>
    <cellStyle name="40% - Accent6 2 2 4 3 2 4" xfId="20862" xr:uid="{00000000-0005-0000-0000-0000863B0000}"/>
    <cellStyle name="40% - Accent6 2 2 4 3 3" xfId="11518" xr:uid="{00000000-0005-0000-0000-0000873B0000}"/>
    <cellStyle name="40% - Accent6 2 2 4 3 3 2" xfId="11519" xr:uid="{00000000-0005-0000-0000-0000883B0000}"/>
    <cellStyle name="40% - Accent6 2 2 4 3 3 3" xfId="22155" xr:uid="{00000000-0005-0000-0000-0000893B0000}"/>
    <cellStyle name="40% - Accent6 2 2 4 3 4" xfId="11520" xr:uid="{00000000-0005-0000-0000-00008A3B0000}"/>
    <cellStyle name="40% - Accent6 2 2 4 3 5" xfId="19568" xr:uid="{00000000-0005-0000-0000-00008B3B0000}"/>
    <cellStyle name="40% - Accent6 2 2 4 4" xfId="11521" xr:uid="{00000000-0005-0000-0000-00008C3B0000}"/>
    <cellStyle name="40% - Accent6 2 2 4 4 2" xfId="11522" xr:uid="{00000000-0005-0000-0000-00008D3B0000}"/>
    <cellStyle name="40% - Accent6 2 2 4 4 2 2" xfId="11523" xr:uid="{00000000-0005-0000-0000-00008E3B0000}"/>
    <cellStyle name="40% - Accent6 2 2 4 4 2 3" xfId="22800" xr:uid="{00000000-0005-0000-0000-00008F3B0000}"/>
    <cellStyle name="40% - Accent6 2 2 4 4 3" xfId="11524" xr:uid="{00000000-0005-0000-0000-0000903B0000}"/>
    <cellStyle name="40% - Accent6 2 2 4 4 4" xfId="20217" xr:uid="{00000000-0005-0000-0000-0000913B0000}"/>
    <cellStyle name="40% - Accent6 2 2 4 5" xfId="11525" xr:uid="{00000000-0005-0000-0000-0000923B0000}"/>
    <cellStyle name="40% - Accent6 2 2 4 5 2" xfId="11526" xr:uid="{00000000-0005-0000-0000-0000933B0000}"/>
    <cellStyle name="40% - Accent6 2 2 4 5 3" xfId="21510" xr:uid="{00000000-0005-0000-0000-0000943B0000}"/>
    <cellStyle name="40% - Accent6 2 2 4 6" xfId="11527" xr:uid="{00000000-0005-0000-0000-0000953B0000}"/>
    <cellStyle name="40% - Accent6 2 2 4 7" xfId="18916" xr:uid="{00000000-0005-0000-0000-0000963B0000}"/>
    <cellStyle name="40% - Accent6 2 2 5" xfId="11528" xr:uid="{00000000-0005-0000-0000-0000973B0000}"/>
    <cellStyle name="40% - Accent6 2 2 5 2" xfId="11529" xr:uid="{00000000-0005-0000-0000-0000983B0000}"/>
    <cellStyle name="40% - Accent6 2 2 5 2 2" xfId="11530" xr:uid="{00000000-0005-0000-0000-0000993B0000}"/>
    <cellStyle name="40% - Accent6 2 2 5 2 2 2" xfId="11531" xr:uid="{00000000-0005-0000-0000-00009A3B0000}"/>
    <cellStyle name="40% - Accent6 2 2 5 2 2 2 2" xfId="11532" xr:uid="{00000000-0005-0000-0000-00009B3B0000}"/>
    <cellStyle name="40% - Accent6 2 2 5 2 2 2 3" xfId="23606" xr:uid="{00000000-0005-0000-0000-00009C3B0000}"/>
    <cellStyle name="40% - Accent6 2 2 5 2 2 3" xfId="11533" xr:uid="{00000000-0005-0000-0000-00009D3B0000}"/>
    <cellStyle name="40% - Accent6 2 2 5 2 2 4" xfId="21023" xr:uid="{00000000-0005-0000-0000-00009E3B0000}"/>
    <cellStyle name="40% - Accent6 2 2 5 2 3" xfId="11534" xr:uid="{00000000-0005-0000-0000-00009F3B0000}"/>
    <cellStyle name="40% - Accent6 2 2 5 2 3 2" xfId="11535" xr:uid="{00000000-0005-0000-0000-0000A03B0000}"/>
    <cellStyle name="40% - Accent6 2 2 5 2 3 3" xfId="22316" xr:uid="{00000000-0005-0000-0000-0000A13B0000}"/>
    <cellStyle name="40% - Accent6 2 2 5 2 4" xfId="11536" xr:uid="{00000000-0005-0000-0000-0000A23B0000}"/>
    <cellStyle name="40% - Accent6 2 2 5 2 5" xfId="19729" xr:uid="{00000000-0005-0000-0000-0000A33B0000}"/>
    <cellStyle name="40% - Accent6 2 2 5 3" xfId="11537" xr:uid="{00000000-0005-0000-0000-0000A43B0000}"/>
    <cellStyle name="40% - Accent6 2 2 5 3 2" xfId="11538" xr:uid="{00000000-0005-0000-0000-0000A53B0000}"/>
    <cellStyle name="40% - Accent6 2 2 5 3 2 2" xfId="11539" xr:uid="{00000000-0005-0000-0000-0000A63B0000}"/>
    <cellStyle name="40% - Accent6 2 2 5 3 2 3" xfId="22961" xr:uid="{00000000-0005-0000-0000-0000A73B0000}"/>
    <cellStyle name="40% - Accent6 2 2 5 3 3" xfId="11540" xr:uid="{00000000-0005-0000-0000-0000A83B0000}"/>
    <cellStyle name="40% - Accent6 2 2 5 3 4" xfId="20378" xr:uid="{00000000-0005-0000-0000-0000A93B0000}"/>
    <cellStyle name="40% - Accent6 2 2 5 4" xfId="11541" xr:uid="{00000000-0005-0000-0000-0000AA3B0000}"/>
    <cellStyle name="40% - Accent6 2 2 5 4 2" xfId="11542" xr:uid="{00000000-0005-0000-0000-0000AB3B0000}"/>
    <cellStyle name="40% - Accent6 2 2 5 4 3" xfId="21671" xr:uid="{00000000-0005-0000-0000-0000AC3B0000}"/>
    <cellStyle name="40% - Accent6 2 2 5 5" xfId="11543" xr:uid="{00000000-0005-0000-0000-0000AD3B0000}"/>
    <cellStyle name="40% - Accent6 2 2 5 6" xfId="19081" xr:uid="{00000000-0005-0000-0000-0000AE3B0000}"/>
    <cellStyle name="40% - Accent6 2 2 6" xfId="11544" xr:uid="{00000000-0005-0000-0000-0000AF3B0000}"/>
    <cellStyle name="40% - Accent6 2 2 6 2" xfId="11545" xr:uid="{00000000-0005-0000-0000-0000B03B0000}"/>
    <cellStyle name="40% - Accent6 2 2 6 2 2" xfId="11546" xr:uid="{00000000-0005-0000-0000-0000B13B0000}"/>
    <cellStyle name="40% - Accent6 2 2 6 2 2 2" xfId="11547" xr:uid="{00000000-0005-0000-0000-0000B23B0000}"/>
    <cellStyle name="40% - Accent6 2 2 6 2 2 3" xfId="23283" xr:uid="{00000000-0005-0000-0000-0000B33B0000}"/>
    <cellStyle name="40% - Accent6 2 2 6 2 3" xfId="11548" xr:uid="{00000000-0005-0000-0000-0000B43B0000}"/>
    <cellStyle name="40% - Accent6 2 2 6 2 4" xfId="20700" xr:uid="{00000000-0005-0000-0000-0000B53B0000}"/>
    <cellStyle name="40% - Accent6 2 2 6 3" xfId="11549" xr:uid="{00000000-0005-0000-0000-0000B63B0000}"/>
    <cellStyle name="40% - Accent6 2 2 6 3 2" xfId="11550" xr:uid="{00000000-0005-0000-0000-0000B73B0000}"/>
    <cellStyle name="40% - Accent6 2 2 6 3 3" xfId="21993" xr:uid="{00000000-0005-0000-0000-0000B83B0000}"/>
    <cellStyle name="40% - Accent6 2 2 6 4" xfId="11551" xr:uid="{00000000-0005-0000-0000-0000B93B0000}"/>
    <cellStyle name="40% - Accent6 2 2 6 5" xfId="19407" xr:uid="{00000000-0005-0000-0000-0000BA3B0000}"/>
    <cellStyle name="40% - Accent6 2 2 7" xfId="11552" xr:uid="{00000000-0005-0000-0000-0000BB3B0000}"/>
    <cellStyle name="40% - Accent6 2 2 7 2" xfId="11553" xr:uid="{00000000-0005-0000-0000-0000BC3B0000}"/>
    <cellStyle name="40% - Accent6 2 2 7 2 2" xfId="11554" xr:uid="{00000000-0005-0000-0000-0000BD3B0000}"/>
    <cellStyle name="40% - Accent6 2 2 7 2 3" xfId="22638" xr:uid="{00000000-0005-0000-0000-0000BE3B0000}"/>
    <cellStyle name="40% - Accent6 2 2 7 3" xfId="11555" xr:uid="{00000000-0005-0000-0000-0000BF3B0000}"/>
    <cellStyle name="40% - Accent6 2 2 7 4" xfId="20055" xr:uid="{00000000-0005-0000-0000-0000C03B0000}"/>
    <cellStyle name="40% - Accent6 2 2 8" xfId="11556" xr:uid="{00000000-0005-0000-0000-0000C13B0000}"/>
    <cellStyle name="40% - Accent6 2 2 8 2" xfId="11557" xr:uid="{00000000-0005-0000-0000-0000C23B0000}"/>
    <cellStyle name="40% - Accent6 2 2 8 3" xfId="21348" xr:uid="{00000000-0005-0000-0000-0000C33B0000}"/>
    <cellStyle name="40% - Accent6 2 2 9" xfId="11558" xr:uid="{00000000-0005-0000-0000-0000C43B0000}"/>
    <cellStyle name="40% - Accent6 2 3" xfId="11559" xr:uid="{00000000-0005-0000-0000-0000C53B0000}"/>
    <cellStyle name="40% - Accent6 2 3 2" xfId="11560" xr:uid="{00000000-0005-0000-0000-0000C63B0000}"/>
    <cellStyle name="40% - Accent6 2 3 2 2" xfId="11561" xr:uid="{00000000-0005-0000-0000-0000C73B0000}"/>
    <cellStyle name="40% - Accent6 2 3 2 2 2" xfId="11562" xr:uid="{00000000-0005-0000-0000-0000C83B0000}"/>
    <cellStyle name="40% - Accent6 2 3 2 2 2 2" xfId="11563" xr:uid="{00000000-0005-0000-0000-0000C93B0000}"/>
    <cellStyle name="40% - Accent6 2 3 2 2 2 2 2" xfId="11564" xr:uid="{00000000-0005-0000-0000-0000CA3B0000}"/>
    <cellStyle name="40% - Accent6 2 3 2 2 2 2 2 2" xfId="11565" xr:uid="{00000000-0005-0000-0000-0000CB3B0000}"/>
    <cellStyle name="40% - Accent6 2 3 2 2 2 2 2 2 2" xfId="11566" xr:uid="{00000000-0005-0000-0000-0000CC3B0000}"/>
    <cellStyle name="40% - Accent6 2 3 2 2 2 2 2 2 3" xfId="23867" xr:uid="{00000000-0005-0000-0000-0000CD3B0000}"/>
    <cellStyle name="40% - Accent6 2 3 2 2 2 2 2 3" xfId="11567" xr:uid="{00000000-0005-0000-0000-0000CE3B0000}"/>
    <cellStyle name="40% - Accent6 2 3 2 2 2 2 2 4" xfId="21284" xr:uid="{00000000-0005-0000-0000-0000CF3B0000}"/>
    <cellStyle name="40% - Accent6 2 3 2 2 2 2 3" xfId="11568" xr:uid="{00000000-0005-0000-0000-0000D03B0000}"/>
    <cellStyle name="40% - Accent6 2 3 2 2 2 2 3 2" xfId="11569" xr:uid="{00000000-0005-0000-0000-0000D13B0000}"/>
    <cellStyle name="40% - Accent6 2 3 2 2 2 2 3 3" xfId="22577" xr:uid="{00000000-0005-0000-0000-0000D23B0000}"/>
    <cellStyle name="40% - Accent6 2 3 2 2 2 2 4" xfId="11570" xr:uid="{00000000-0005-0000-0000-0000D33B0000}"/>
    <cellStyle name="40% - Accent6 2 3 2 2 2 2 5" xfId="19990" xr:uid="{00000000-0005-0000-0000-0000D43B0000}"/>
    <cellStyle name="40% - Accent6 2 3 2 2 2 3" xfId="11571" xr:uid="{00000000-0005-0000-0000-0000D53B0000}"/>
    <cellStyle name="40% - Accent6 2 3 2 2 2 3 2" xfId="11572" xr:uid="{00000000-0005-0000-0000-0000D63B0000}"/>
    <cellStyle name="40% - Accent6 2 3 2 2 2 3 2 2" xfId="11573" xr:uid="{00000000-0005-0000-0000-0000D73B0000}"/>
    <cellStyle name="40% - Accent6 2 3 2 2 2 3 2 3" xfId="23222" xr:uid="{00000000-0005-0000-0000-0000D83B0000}"/>
    <cellStyle name="40% - Accent6 2 3 2 2 2 3 3" xfId="11574" xr:uid="{00000000-0005-0000-0000-0000D93B0000}"/>
    <cellStyle name="40% - Accent6 2 3 2 2 2 3 4" xfId="20639" xr:uid="{00000000-0005-0000-0000-0000DA3B0000}"/>
    <cellStyle name="40% - Accent6 2 3 2 2 2 4" xfId="11575" xr:uid="{00000000-0005-0000-0000-0000DB3B0000}"/>
    <cellStyle name="40% - Accent6 2 3 2 2 2 4 2" xfId="11576" xr:uid="{00000000-0005-0000-0000-0000DC3B0000}"/>
    <cellStyle name="40% - Accent6 2 3 2 2 2 4 3" xfId="21932" xr:uid="{00000000-0005-0000-0000-0000DD3B0000}"/>
    <cellStyle name="40% - Accent6 2 3 2 2 2 5" xfId="11577" xr:uid="{00000000-0005-0000-0000-0000DE3B0000}"/>
    <cellStyle name="40% - Accent6 2 3 2 2 2 6" xfId="19342" xr:uid="{00000000-0005-0000-0000-0000DF3B0000}"/>
    <cellStyle name="40% - Accent6 2 3 2 2 3" xfId="11578" xr:uid="{00000000-0005-0000-0000-0000E03B0000}"/>
    <cellStyle name="40% - Accent6 2 3 2 2 3 2" xfId="11579" xr:uid="{00000000-0005-0000-0000-0000E13B0000}"/>
    <cellStyle name="40% - Accent6 2 3 2 2 3 2 2" xfId="11580" xr:uid="{00000000-0005-0000-0000-0000E23B0000}"/>
    <cellStyle name="40% - Accent6 2 3 2 2 3 2 2 2" xfId="11581" xr:uid="{00000000-0005-0000-0000-0000E33B0000}"/>
    <cellStyle name="40% - Accent6 2 3 2 2 3 2 2 3" xfId="23545" xr:uid="{00000000-0005-0000-0000-0000E43B0000}"/>
    <cellStyle name="40% - Accent6 2 3 2 2 3 2 3" xfId="11582" xr:uid="{00000000-0005-0000-0000-0000E53B0000}"/>
    <cellStyle name="40% - Accent6 2 3 2 2 3 2 4" xfId="20962" xr:uid="{00000000-0005-0000-0000-0000E63B0000}"/>
    <cellStyle name="40% - Accent6 2 3 2 2 3 3" xfId="11583" xr:uid="{00000000-0005-0000-0000-0000E73B0000}"/>
    <cellStyle name="40% - Accent6 2 3 2 2 3 3 2" xfId="11584" xr:uid="{00000000-0005-0000-0000-0000E83B0000}"/>
    <cellStyle name="40% - Accent6 2 3 2 2 3 3 3" xfId="22255" xr:uid="{00000000-0005-0000-0000-0000E93B0000}"/>
    <cellStyle name="40% - Accent6 2 3 2 2 3 4" xfId="11585" xr:uid="{00000000-0005-0000-0000-0000EA3B0000}"/>
    <cellStyle name="40% - Accent6 2 3 2 2 3 5" xfId="19668" xr:uid="{00000000-0005-0000-0000-0000EB3B0000}"/>
    <cellStyle name="40% - Accent6 2 3 2 2 4" xfId="11586" xr:uid="{00000000-0005-0000-0000-0000EC3B0000}"/>
    <cellStyle name="40% - Accent6 2 3 2 2 4 2" xfId="11587" xr:uid="{00000000-0005-0000-0000-0000ED3B0000}"/>
    <cellStyle name="40% - Accent6 2 3 2 2 4 2 2" xfId="11588" xr:uid="{00000000-0005-0000-0000-0000EE3B0000}"/>
    <cellStyle name="40% - Accent6 2 3 2 2 4 2 3" xfId="22900" xr:uid="{00000000-0005-0000-0000-0000EF3B0000}"/>
    <cellStyle name="40% - Accent6 2 3 2 2 4 3" xfId="11589" xr:uid="{00000000-0005-0000-0000-0000F03B0000}"/>
    <cellStyle name="40% - Accent6 2 3 2 2 4 4" xfId="20317" xr:uid="{00000000-0005-0000-0000-0000F13B0000}"/>
    <cellStyle name="40% - Accent6 2 3 2 2 5" xfId="11590" xr:uid="{00000000-0005-0000-0000-0000F23B0000}"/>
    <cellStyle name="40% - Accent6 2 3 2 2 5 2" xfId="11591" xr:uid="{00000000-0005-0000-0000-0000F33B0000}"/>
    <cellStyle name="40% - Accent6 2 3 2 2 5 3" xfId="21610" xr:uid="{00000000-0005-0000-0000-0000F43B0000}"/>
    <cellStyle name="40% - Accent6 2 3 2 2 6" xfId="11592" xr:uid="{00000000-0005-0000-0000-0000F53B0000}"/>
    <cellStyle name="40% - Accent6 2 3 2 2 7" xfId="19016" xr:uid="{00000000-0005-0000-0000-0000F63B0000}"/>
    <cellStyle name="40% - Accent6 2 3 2 3" xfId="11593" xr:uid="{00000000-0005-0000-0000-0000F73B0000}"/>
    <cellStyle name="40% - Accent6 2 3 2 3 2" xfId="11594" xr:uid="{00000000-0005-0000-0000-0000F83B0000}"/>
    <cellStyle name="40% - Accent6 2 3 2 3 2 2" xfId="11595" xr:uid="{00000000-0005-0000-0000-0000F93B0000}"/>
    <cellStyle name="40% - Accent6 2 3 2 3 2 2 2" xfId="11596" xr:uid="{00000000-0005-0000-0000-0000FA3B0000}"/>
    <cellStyle name="40% - Accent6 2 3 2 3 2 2 2 2" xfId="11597" xr:uid="{00000000-0005-0000-0000-0000FB3B0000}"/>
    <cellStyle name="40% - Accent6 2 3 2 3 2 2 2 3" xfId="23706" xr:uid="{00000000-0005-0000-0000-0000FC3B0000}"/>
    <cellStyle name="40% - Accent6 2 3 2 3 2 2 3" xfId="11598" xr:uid="{00000000-0005-0000-0000-0000FD3B0000}"/>
    <cellStyle name="40% - Accent6 2 3 2 3 2 2 4" xfId="21123" xr:uid="{00000000-0005-0000-0000-0000FE3B0000}"/>
    <cellStyle name="40% - Accent6 2 3 2 3 2 3" xfId="11599" xr:uid="{00000000-0005-0000-0000-0000FF3B0000}"/>
    <cellStyle name="40% - Accent6 2 3 2 3 2 3 2" xfId="11600" xr:uid="{00000000-0005-0000-0000-0000003C0000}"/>
    <cellStyle name="40% - Accent6 2 3 2 3 2 3 3" xfId="22416" xr:uid="{00000000-0005-0000-0000-0000013C0000}"/>
    <cellStyle name="40% - Accent6 2 3 2 3 2 4" xfId="11601" xr:uid="{00000000-0005-0000-0000-0000023C0000}"/>
    <cellStyle name="40% - Accent6 2 3 2 3 2 5" xfId="19829" xr:uid="{00000000-0005-0000-0000-0000033C0000}"/>
    <cellStyle name="40% - Accent6 2 3 2 3 3" xfId="11602" xr:uid="{00000000-0005-0000-0000-0000043C0000}"/>
    <cellStyle name="40% - Accent6 2 3 2 3 3 2" xfId="11603" xr:uid="{00000000-0005-0000-0000-0000053C0000}"/>
    <cellStyle name="40% - Accent6 2 3 2 3 3 2 2" xfId="11604" xr:uid="{00000000-0005-0000-0000-0000063C0000}"/>
    <cellStyle name="40% - Accent6 2 3 2 3 3 2 3" xfId="23061" xr:uid="{00000000-0005-0000-0000-0000073C0000}"/>
    <cellStyle name="40% - Accent6 2 3 2 3 3 3" xfId="11605" xr:uid="{00000000-0005-0000-0000-0000083C0000}"/>
    <cellStyle name="40% - Accent6 2 3 2 3 3 4" xfId="20478" xr:uid="{00000000-0005-0000-0000-0000093C0000}"/>
    <cellStyle name="40% - Accent6 2 3 2 3 4" xfId="11606" xr:uid="{00000000-0005-0000-0000-00000A3C0000}"/>
    <cellStyle name="40% - Accent6 2 3 2 3 4 2" xfId="11607" xr:uid="{00000000-0005-0000-0000-00000B3C0000}"/>
    <cellStyle name="40% - Accent6 2 3 2 3 4 3" xfId="21771" xr:uid="{00000000-0005-0000-0000-00000C3C0000}"/>
    <cellStyle name="40% - Accent6 2 3 2 3 5" xfId="11608" xr:uid="{00000000-0005-0000-0000-00000D3C0000}"/>
    <cellStyle name="40% - Accent6 2 3 2 3 6" xfId="19181" xr:uid="{00000000-0005-0000-0000-00000E3C0000}"/>
    <cellStyle name="40% - Accent6 2 3 2 4" xfId="11609" xr:uid="{00000000-0005-0000-0000-00000F3C0000}"/>
    <cellStyle name="40% - Accent6 2 3 2 4 2" xfId="11610" xr:uid="{00000000-0005-0000-0000-0000103C0000}"/>
    <cellStyle name="40% - Accent6 2 3 2 4 2 2" xfId="11611" xr:uid="{00000000-0005-0000-0000-0000113C0000}"/>
    <cellStyle name="40% - Accent6 2 3 2 4 2 2 2" xfId="11612" xr:uid="{00000000-0005-0000-0000-0000123C0000}"/>
    <cellStyle name="40% - Accent6 2 3 2 4 2 2 3" xfId="23384" xr:uid="{00000000-0005-0000-0000-0000133C0000}"/>
    <cellStyle name="40% - Accent6 2 3 2 4 2 3" xfId="11613" xr:uid="{00000000-0005-0000-0000-0000143C0000}"/>
    <cellStyle name="40% - Accent6 2 3 2 4 2 4" xfId="20801" xr:uid="{00000000-0005-0000-0000-0000153C0000}"/>
    <cellStyle name="40% - Accent6 2 3 2 4 3" xfId="11614" xr:uid="{00000000-0005-0000-0000-0000163C0000}"/>
    <cellStyle name="40% - Accent6 2 3 2 4 3 2" xfId="11615" xr:uid="{00000000-0005-0000-0000-0000173C0000}"/>
    <cellStyle name="40% - Accent6 2 3 2 4 3 3" xfId="22094" xr:uid="{00000000-0005-0000-0000-0000183C0000}"/>
    <cellStyle name="40% - Accent6 2 3 2 4 4" xfId="11616" xr:uid="{00000000-0005-0000-0000-0000193C0000}"/>
    <cellStyle name="40% - Accent6 2 3 2 4 5" xfId="19507" xr:uid="{00000000-0005-0000-0000-00001A3C0000}"/>
    <cellStyle name="40% - Accent6 2 3 2 5" xfId="11617" xr:uid="{00000000-0005-0000-0000-00001B3C0000}"/>
    <cellStyle name="40% - Accent6 2 3 2 5 2" xfId="11618" xr:uid="{00000000-0005-0000-0000-00001C3C0000}"/>
    <cellStyle name="40% - Accent6 2 3 2 5 2 2" xfId="11619" xr:uid="{00000000-0005-0000-0000-00001D3C0000}"/>
    <cellStyle name="40% - Accent6 2 3 2 5 2 3" xfId="22739" xr:uid="{00000000-0005-0000-0000-00001E3C0000}"/>
    <cellStyle name="40% - Accent6 2 3 2 5 3" xfId="11620" xr:uid="{00000000-0005-0000-0000-00001F3C0000}"/>
    <cellStyle name="40% - Accent6 2 3 2 5 4" xfId="20156" xr:uid="{00000000-0005-0000-0000-0000203C0000}"/>
    <cellStyle name="40% - Accent6 2 3 2 6" xfId="11621" xr:uid="{00000000-0005-0000-0000-0000213C0000}"/>
    <cellStyle name="40% - Accent6 2 3 2 6 2" xfId="11622" xr:uid="{00000000-0005-0000-0000-0000223C0000}"/>
    <cellStyle name="40% - Accent6 2 3 2 6 3" xfId="21449" xr:uid="{00000000-0005-0000-0000-0000233C0000}"/>
    <cellStyle name="40% - Accent6 2 3 2 7" xfId="11623" xr:uid="{00000000-0005-0000-0000-0000243C0000}"/>
    <cellStyle name="40% - Accent6 2 3 2 8" xfId="18851" xr:uid="{00000000-0005-0000-0000-0000253C0000}"/>
    <cellStyle name="40% - Accent6 2 3 3" xfId="11624" xr:uid="{00000000-0005-0000-0000-0000263C0000}"/>
    <cellStyle name="40% - Accent6 2 3 3 2" xfId="11625" xr:uid="{00000000-0005-0000-0000-0000273C0000}"/>
    <cellStyle name="40% - Accent6 2 3 3 2 2" xfId="11626" xr:uid="{00000000-0005-0000-0000-0000283C0000}"/>
    <cellStyle name="40% - Accent6 2 3 3 2 2 2" xfId="11627" xr:uid="{00000000-0005-0000-0000-0000293C0000}"/>
    <cellStyle name="40% - Accent6 2 3 3 2 2 2 2" xfId="11628" xr:uid="{00000000-0005-0000-0000-00002A3C0000}"/>
    <cellStyle name="40% - Accent6 2 3 3 2 2 2 2 2" xfId="11629" xr:uid="{00000000-0005-0000-0000-00002B3C0000}"/>
    <cellStyle name="40% - Accent6 2 3 3 2 2 2 2 3" xfId="23787" xr:uid="{00000000-0005-0000-0000-00002C3C0000}"/>
    <cellStyle name="40% - Accent6 2 3 3 2 2 2 3" xfId="11630" xr:uid="{00000000-0005-0000-0000-00002D3C0000}"/>
    <cellStyle name="40% - Accent6 2 3 3 2 2 2 4" xfId="21204" xr:uid="{00000000-0005-0000-0000-00002E3C0000}"/>
    <cellStyle name="40% - Accent6 2 3 3 2 2 3" xfId="11631" xr:uid="{00000000-0005-0000-0000-00002F3C0000}"/>
    <cellStyle name="40% - Accent6 2 3 3 2 2 3 2" xfId="11632" xr:uid="{00000000-0005-0000-0000-0000303C0000}"/>
    <cellStyle name="40% - Accent6 2 3 3 2 2 3 3" xfId="22497" xr:uid="{00000000-0005-0000-0000-0000313C0000}"/>
    <cellStyle name="40% - Accent6 2 3 3 2 2 4" xfId="11633" xr:uid="{00000000-0005-0000-0000-0000323C0000}"/>
    <cellStyle name="40% - Accent6 2 3 3 2 2 5" xfId="19910" xr:uid="{00000000-0005-0000-0000-0000333C0000}"/>
    <cellStyle name="40% - Accent6 2 3 3 2 3" xfId="11634" xr:uid="{00000000-0005-0000-0000-0000343C0000}"/>
    <cellStyle name="40% - Accent6 2 3 3 2 3 2" xfId="11635" xr:uid="{00000000-0005-0000-0000-0000353C0000}"/>
    <cellStyle name="40% - Accent6 2 3 3 2 3 2 2" xfId="11636" xr:uid="{00000000-0005-0000-0000-0000363C0000}"/>
    <cellStyle name="40% - Accent6 2 3 3 2 3 2 3" xfId="23142" xr:uid="{00000000-0005-0000-0000-0000373C0000}"/>
    <cellStyle name="40% - Accent6 2 3 3 2 3 3" xfId="11637" xr:uid="{00000000-0005-0000-0000-0000383C0000}"/>
    <cellStyle name="40% - Accent6 2 3 3 2 3 4" xfId="20559" xr:uid="{00000000-0005-0000-0000-0000393C0000}"/>
    <cellStyle name="40% - Accent6 2 3 3 2 4" xfId="11638" xr:uid="{00000000-0005-0000-0000-00003A3C0000}"/>
    <cellStyle name="40% - Accent6 2 3 3 2 4 2" xfId="11639" xr:uid="{00000000-0005-0000-0000-00003B3C0000}"/>
    <cellStyle name="40% - Accent6 2 3 3 2 4 3" xfId="21852" xr:uid="{00000000-0005-0000-0000-00003C3C0000}"/>
    <cellStyle name="40% - Accent6 2 3 3 2 5" xfId="11640" xr:uid="{00000000-0005-0000-0000-00003D3C0000}"/>
    <cellStyle name="40% - Accent6 2 3 3 2 6" xfId="19262" xr:uid="{00000000-0005-0000-0000-00003E3C0000}"/>
    <cellStyle name="40% - Accent6 2 3 3 3" xfId="11641" xr:uid="{00000000-0005-0000-0000-00003F3C0000}"/>
    <cellStyle name="40% - Accent6 2 3 3 3 2" xfId="11642" xr:uid="{00000000-0005-0000-0000-0000403C0000}"/>
    <cellStyle name="40% - Accent6 2 3 3 3 2 2" xfId="11643" xr:uid="{00000000-0005-0000-0000-0000413C0000}"/>
    <cellStyle name="40% - Accent6 2 3 3 3 2 2 2" xfId="11644" xr:uid="{00000000-0005-0000-0000-0000423C0000}"/>
    <cellStyle name="40% - Accent6 2 3 3 3 2 2 3" xfId="23465" xr:uid="{00000000-0005-0000-0000-0000433C0000}"/>
    <cellStyle name="40% - Accent6 2 3 3 3 2 3" xfId="11645" xr:uid="{00000000-0005-0000-0000-0000443C0000}"/>
    <cellStyle name="40% - Accent6 2 3 3 3 2 4" xfId="20882" xr:uid="{00000000-0005-0000-0000-0000453C0000}"/>
    <cellStyle name="40% - Accent6 2 3 3 3 3" xfId="11646" xr:uid="{00000000-0005-0000-0000-0000463C0000}"/>
    <cellStyle name="40% - Accent6 2 3 3 3 3 2" xfId="11647" xr:uid="{00000000-0005-0000-0000-0000473C0000}"/>
    <cellStyle name="40% - Accent6 2 3 3 3 3 3" xfId="22175" xr:uid="{00000000-0005-0000-0000-0000483C0000}"/>
    <cellStyle name="40% - Accent6 2 3 3 3 4" xfId="11648" xr:uid="{00000000-0005-0000-0000-0000493C0000}"/>
    <cellStyle name="40% - Accent6 2 3 3 3 5" xfId="19588" xr:uid="{00000000-0005-0000-0000-00004A3C0000}"/>
    <cellStyle name="40% - Accent6 2 3 3 4" xfId="11649" xr:uid="{00000000-0005-0000-0000-00004B3C0000}"/>
    <cellStyle name="40% - Accent6 2 3 3 4 2" xfId="11650" xr:uid="{00000000-0005-0000-0000-00004C3C0000}"/>
    <cellStyle name="40% - Accent6 2 3 3 4 2 2" xfId="11651" xr:uid="{00000000-0005-0000-0000-00004D3C0000}"/>
    <cellStyle name="40% - Accent6 2 3 3 4 2 3" xfId="22820" xr:uid="{00000000-0005-0000-0000-00004E3C0000}"/>
    <cellStyle name="40% - Accent6 2 3 3 4 3" xfId="11652" xr:uid="{00000000-0005-0000-0000-00004F3C0000}"/>
    <cellStyle name="40% - Accent6 2 3 3 4 4" xfId="20237" xr:uid="{00000000-0005-0000-0000-0000503C0000}"/>
    <cellStyle name="40% - Accent6 2 3 3 5" xfId="11653" xr:uid="{00000000-0005-0000-0000-0000513C0000}"/>
    <cellStyle name="40% - Accent6 2 3 3 5 2" xfId="11654" xr:uid="{00000000-0005-0000-0000-0000523C0000}"/>
    <cellStyle name="40% - Accent6 2 3 3 5 3" xfId="21530" xr:uid="{00000000-0005-0000-0000-0000533C0000}"/>
    <cellStyle name="40% - Accent6 2 3 3 6" xfId="11655" xr:uid="{00000000-0005-0000-0000-0000543C0000}"/>
    <cellStyle name="40% - Accent6 2 3 3 7" xfId="18936" xr:uid="{00000000-0005-0000-0000-0000553C0000}"/>
    <cellStyle name="40% - Accent6 2 3 4" xfId="11656" xr:uid="{00000000-0005-0000-0000-0000563C0000}"/>
    <cellStyle name="40% - Accent6 2 3 4 2" xfId="11657" xr:uid="{00000000-0005-0000-0000-0000573C0000}"/>
    <cellStyle name="40% - Accent6 2 3 4 2 2" xfId="11658" xr:uid="{00000000-0005-0000-0000-0000583C0000}"/>
    <cellStyle name="40% - Accent6 2 3 4 2 2 2" xfId="11659" xr:uid="{00000000-0005-0000-0000-0000593C0000}"/>
    <cellStyle name="40% - Accent6 2 3 4 2 2 2 2" xfId="11660" xr:uid="{00000000-0005-0000-0000-00005A3C0000}"/>
    <cellStyle name="40% - Accent6 2 3 4 2 2 2 3" xfId="23626" xr:uid="{00000000-0005-0000-0000-00005B3C0000}"/>
    <cellStyle name="40% - Accent6 2 3 4 2 2 3" xfId="11661" xr:uid="{00000000-0005-0000-0000-00005C3C0000}"/>
    <cellStyle name="40% - Accent6 2 3 4 2 2 4" xfId="21043" xr:uid="{00000000-0005-0000-0000-00005D3C0000}"/>
    <cellStyle name="40% - Accent6 2 3 4 2 3" xfId="11662" xr:uid="{00000000-0005-0000-0000-00005E3C0000}"/>
    <cellStyle name="40% - Accent6 2 3 4 2 3 2" xfId="11663" xr:uid="{00000000-0005-0000-0000-00005F3C0000}"/>
    <cellStyle name="40% - Accent6 2 3 4 2 3 3" xfId="22336" xr:uid="{00000000-0005-0000-0000-0000603C0000}"/>
    <cellStyle name="40% - Accent6 2 3 4 2 4" xfId="11664" xr:uid="{00000000-0005-0000-0000-0000613C0000}"/>
    <cellStyle name="40% - Accent6 2 3 4 2 5" xfId="19749" xr:uid="{00000000-0005-0000-0000-0000623C0000}"/>
    <cellStyle name="40% - Accent6 2 3 4 3" xfId="11665" xr:uid="{00000000-0005-0000-0000-0000633C0000}"/>
    <cellStyle name="40% - Accent6 2 3 4 3 2" xfId="11666" xr:uid="{00000000-0005-0000-0000-0000643C0000}"/>
    <cellStyle name="40% - Accent6 2 3 4 3 2 2" xfId="11667" xr:uid="{00000000-0005-0000-0000-0000653C0000}"/>
    <cellStyle name="40% - Accent6 2 3 4 3 2 3" xfId="22981" xr:uid="{00000000-0005-0000-0000-0000663C0000}"/>
    <cellStyle name="40% - Accent6 2 3 4 3 3" xfId="11668" xr:uid="{00000000-0005-0000-0000-0000673C0000}"/>
    <cellStyle name="40% - Accent6 2 3 4 3 4" xfId="20398" xr:uid="{00000000-0005-0000-0000-0000683C0000}"/>
    <cellStyle name="40% - Accent6 2 3 4 4" xfId="11669" xr:uid="{00000000-0005-0000-0000-0000693C0000}"/>
    <cellStyle name="40% - Accent6 2 3 4 4 2" xfId="11670" xr:uid="{00000000-0005-0000-0000-00006A3C0000}"/>
    <cellStyle name="40% - Accent6 2 3 4 4 3" xfId="21691" xr:uid="{00000000-0005-0000-0000-00006B3C0000}"/>
    <cellStyle name="40% - Accent6 2 3 4 5" xfId="11671" xr:uid="{00000000-0005-0000-0000-00006C3C0000}"/>
    <cellStyle name="40% - Accent6 2 3 4 6" xfId="19101" xr:uid="{00000000-0005-0000-0000-00006D3C0000}"/>
    <cellStyle name="40% - Accent6 2 3 5" xfId="11672" xr:uid="{00000000-0005-0000-0000-00006E3C0000}"/>
    <cellStyle name="40% - Accent6 2 3 5 2" xfId="11673" xr:uid="{00000000-0005-0000-0000-00006F3C0000}"/>
    <cellStyle name="40% - Accent6 2 3 5 2 2" xfId="11674" xr:uid="{00000000-0005-0000-0000-0000703C0000}"/>
    <cellStyle name="40% - Accent6 2 3 5 2 2 2" xfId="11675" xr:uid="{00000000-0005-0000-0000-0000713C0000}"/>
    <cellStyle name="40% - Accent6 2 3 5 2 2 3" xfId="23303" xr:uid="{00000000-0005-0000-0000-0000723C0000}"/>
    <cellStyle name="40% - Accent6 2 3 5 2 3" xfId="11676" xr:uid="{00000000-0005-0000-0000-0000733C0000}"/>
    <cellStyle name="40% - Accent6 2 3 5 2 4" xfId="20720" xr:uid="{00000000-0005-0000-0000-0000743C0000}"/>
    <cellStyle name="40% - Accent6 2 3 5 3" xfId="11677" xr:uid="{00000000-0005-0000-0000-0000753C0000}"/>
    <cellStyle name="40% - Accent6 2 3 5 3 2" xfId="11678" xr:uid="{00000000-0005-0000-0000-0000763C0000}"/>
    <cellStyle name="40% - Accent6 2 3 5 3 3" xfId="22013" xr:uid="{00000000-0005-0000-0000-0000773C0000}"/>
    <cellStyle name="40% - Accent6 2 3 5 4" xfId="11679" xr:uid="{00000000-0005-0000-0000-0000783C0000}"/>
    <cellStyle name="40% - Accent6 2 3 5 5" xfId="19427" xr:uid="{00000000-0005-0000-0000-0000793C0000}"/>
    <cellStyle name="40% - Accent6 2 3 6" xfId="11680" xr:uid="{00000000-0005-0000-0000-00007A3C0000}"/>
    <cellStyle name="40% - Accent6 2 3 6 2" xfId="11681" xr:uid="{00000000-0005-0000-0000-00007B3C0000}"/>
    <cellStyle name="40% - Accent6 2 3 6 2 2" xfId="11682" xr:uid="{00000000-0005-0000-0000-00007C3C0000}"/>
    <cellStyle name="40% - Accent6 2 3 6 2 3" xfId="22658" xr:uid="{00000000-0005-0000-0000-00007D3C0000}"/>
    <cellStyle name="40% - Accent6 2 3 6 3" xfId="11683" xr:uid="{00000000-0005-0000-0000-00007E3C0000}"/>
    <cellStyle name="40% - Accent6 2 3 6 4" xfId="20075" xr:uid="{00000000-0005-0000-0000-00007F3C0000}"/>
    <cellStyle name="40% - Accent6 2 3 7" xfId="11684" xr:uid="{00000000-0005-0000-0000-0000803C0000}"/>
    <cellStyle name="40% - Accent6 2 3 7 2" xfId="11685" xr:uid="{00000000-0005-0000-0000-0000813C0000}"/>
    <cellStyle name="40% - Accent6 2 3 7 3" xfId="21368" xr:uid="{00000000-0005-0000-0000-0000823C0000}"/>
    <cellStyle name="40% - Accent6 2 3 8" xfId="11686" xr:uid="{00000000-0005-0000-0000-0000833C0000}"/>
    <cellStyle name="40% - Accent6 2 3 9" xfId="18754" xr:uid="{00000000-0005-0000-0000-0000843C0000}"/>
    <cellStyle name="40% - Accent6 2 4" xfId="11687" xr:uid="{00000000-0005-0000-0000-0000853C0000}"/>
    <cellStyle name="40% - Accent6 2 4 2" xfId="11688" xr:uid="{00000000-0005-0000-0000-0000863C0000}"/>
    <cellStyle name="40% - Accent6 2 4 2 2" xfId="11689" xr:uid="{00000000-0005-0000-0000-0000873C0000}"/>
    <cellStyle name="40% - Accent6 2 4 2 2 2" xfId="11690" xr:uid="{00000000-0005-0000-0000-0000883C0000}"/>
    <cellStyle name="40% - Accent6 2 4 2 2 2 2" xfId="11691" xr:uid="{00000000-0005-0000-0000-0000893C0000}"/>
    <cellStyle name="40% - Accent6 2 4 2 2 2 2 2" xfId="11692" xr:uid="{00000000-0005-0000-0000-00008A3C0000}"/>
    <cellStyle name="40% - Accent6 2 4 2 2 2 2 2 2" xfId="11693" xr:uid="{00000000-0005-0000-0000-00008B3C0000}"/>
    <cellStyle name="40% - Accent6 2 4 2 2 2 2 2 3" xfId="23827" xr:uid="{00000000-0005-0000-0000-00008C3C0000}"/>
    <cellStyle name="40% - Accent6 2 4 2 2 2 2 3" xfId="11694" xr:uid="{00000000-0005-0000-0000-00008D3C0000}"/>
    <cellStyle name="40% - Accent6 2 4 2 2 2 2 4" xfId="21244" xr:uid="{00000000-0005-0000-0000-00008E3C0000}"/>
    <cellStyle name="40% - Accent6 2 4 2 2 2 3" xfId="11695" xr:uid="{00000000-0005-0000-0000-00008F3C0000}"/>
    <cellStyle name="40% - Accent6 2 4 2 2 2 3 2" xfId="11696" xr:uid="{00000000-0005-0000-0000-0000903C0000}"/>
    <cellStyle name="40% - Accent6 2 4 2 2 2 3 3" xfId="22537" xr:uid="{00000000-0005-0000-0000-0000913C0000}"/>
    <cellStyle name="40% - Accent6 2 4 2 2 2 4" xfId="11697" xr:uid="{00000000-0005-0000-0000-0000923C0000}"/>
    <cellStyle name="40% - Accent6 2 4 2 2 2 5" xfId="19950" xr:uid="{00000000-0005-0000-0000-0000933C0000}"/>
    <cellStyle name="40% - Accent6 2 4 2 2 3" xfId="11698" xr:uid="{00000000-0005-0000-0000-0000943C0000}"/>
    <cellStyle name="40% - Accent6 2 4 2 2 3 2" xfId="11699" xr:uid="{00000000-0005-0000-0000-0000953C0000}"/>
    <cellStyle name="40% - Accent6 2 4 2 2 3 2 2" xfId="11700" xr:uid="{00000000-0005-0000-0000-0000963C0000}"/>
    <cellStyle name="40% - Accent6 2 4 2 2 3 2 3" xfId="23182" xr:uid="{00000000-0005-0000-0000-0000973C0000}"/>
    <cellStyle name="40% - Accent6 2 4 2 2 3 3" xfId="11701" xr:uid="{00000000-0005-0000-0000-0000983C0000}"/>
    <cellStyle name="40% - Accent6 2 4 2 2 3 4" xfId="20599" xr:uid="{00000000-0005-0000-0000-0000993C0000}"/>
    <cellStyle name="40% - Accent6 2 4 2 2 4" xfId="11702" xr:uid="{00000000-0005-0000-0000-00009A3C0000}"/>
    <cellStyle name="40% - Accent6 2 4 2 2 4 2" xfId="11703" xr:uid="{00000000-0005-0000-0000-00009B3C0000}"/>
    <cellStyle name="40% - Accent6 2 4 2 2 4 3" xfId="21892" xr:uid="{00000000-0005-0000-0000-00009C3C0000}"/>
    <cellStyle name="40% - Accent6 2 4 2 2 5" xfId="11704" xr:uid="{00000000-0005-0000-0000-00009D3C0000}"/>
    <cellStyle name="40% - Accent6 2 4 2 2 6" xfId="19302" xr:uid="{00000000-0005-0000-0000-00009E3C0000}"/>
    <cellStyle name="40% - Accent6 2 4 2 3" xfId="11705" xr:uid="{00000000-0005-0000-0000-00009F3C0000}"/>
    <cellStyle name="40% - Accent6 2 4 2 3 2" xfId="11706" xr:uid="{00000000-0005-0000-0000-0000A03C0000}"/>
    <cellStyle name="40% - Accent6 2 4 2 3 2 2" xfId="11707" xr:uid="{00000000-0005-0000-0000-0000A13C0000}"/>
    <cellStyle name="40% - Accent6 2 4 2 3 2 2 2" xfId="11708" xr:uid="{00000000-0005-0000-0000-0000A23C0000}"/>
    <cellStyle name="40% - Accent6 2 4 2 3 2 2 3" xfId="23505" xr:uid="{00000000-0005-0000-0000-0000A33C0000}"/>
    <cellStyle name="40% - Accent6 2 4 2 3 2 3" xfId="11709" xr:uid="{00000000-0005-0000-0000-0000A43C0000}"/>
    <cellStyle name="40% - Accent6 2 4 2 3 2 4" xfId="20922" xr:uid="{00000000-0005-0000-0000-0000A53C0000}"/>
    <cellStyle name="40% - Accent6 2 4 2 3 3" xfId="11710" xr:uid="{00000000-0005-0000-0000-0000A63C0000}"/>
    <cellStyle name="40% - Accent6 2 4 2 3 3 2" xfId="11711" xr:uid="{00000000-0005-0000-0000-0000A73C0000}"/>
    <cellStyle name="40% - Accent6 2 4 2 3 3 3" xfId="22215" xr:uid="{00000000-0005-0000-0000-0000A83C0000}"/>
    <cellStyle name="40% - Accent6 2 4 2 3 4" xfId="11712" xr:uid="{00000000-0005-0000-0000-0000A93C0000}"/>
    <cellStyle name="40% - Accent6 2 4 2 3 5" xfId="19628" xr:uid="{00000000-0005-0000-0000-0000AA3C0000}"/>
    <cellStyle name="40% - Accent6 2 4 2 4" xfId="11713" xr:uid="{00000000-0005-0000-0000-0000AB3C0000}"/>
    <cellStyle name="40% - Accent6 2 4 2 4 2" xfId="11714" xr:uid="{00000000-0005-0000-0000-0000AC3C0000}"/>
    <cellStyle name="40% - Accent6 2 4 2 4 2 2" xfId="11715" xr:uid="{00000000-0005-0000-0000-0000AD3C0000}"/>
    <cellStyle name="40% - Accent6 2 4 2 4 2 3" xfId="22860" xr:uid="{00000000-0005-0000-0000-0000AE3C0000}"/>
    <cellStyle name="40% - Accent6 2 4 2 4 3" xfId="11716" xr:uid="{00000000-0005-0000-0000-0000AF3C0000}"/>
    <cellStyle name="40% - Accent6 2 4 2 4 4" xfId="20277" xr:uid="{00000000-0005-0000-0000-0000B03C0000}"/>
    <cellStyle name="40% - Accent6 2 4 2 5" xfId="11717" xr:uid="{00000000-0005-0000-0000-0000B13C0000}"/>
    <cellStyle name="40% - Accent6 2 4 2 5 2" xfId="11718" xr:uid="{00000000-0005-0000-0000-0000B23C0000}"/>
    <cellStyle name="40% - Accent6 2 4 2 5 3" xfId="21570" xr:uid="{00000000-0005-0000-0000-0000B33C0000}"/>
    <cellStyle name="40% - Accent6 2 4 2 6" xfId="11719" xr:uid="{00000000-0005-0000-0000-0000B43C0000}"/>
    <cellStyle name="40% - Accent6 2 4 2 7" xfId="18976" xr:uid="{00000000-0005-0000-0000-0000B53C0000}"/>
    <cellStyle name="40% - Accent6 2 4 3" xfId="11720" xr:uid="{00000000-0005-0000-0000-0000B63C0000}"/>
    <cellStyle name="40% - Accent6 2 4 3 2" xfId="11721" xr:uid="{00000000-0005-0000-0000-0000B73C0000}"/>
    <cellStyle name="40% - Accent6 2 4 3 2 2" xfId="11722" xr:uid="{00000000-0005-0000-0000-0000B83C0000}"/>
    <cellStyle name="40% - Accent6 2 4 3 2 2 2" xfId="11723" xr:uid="{00000000-0005-0000-0000-0000B93C0000}"/>
    <cellStyle name="40% - Accent6 2 4 3 2 2 2 2" xfId="11724" xr:uid="{00000000-0005-0000-0000-0000BA3C0000}"/>
    <cellStyle name="40% - Accent6 2 4 3 2 2 2 3" xfId="23666" xr:uid="{00000000-0005-0000-0000-0000BB3C0000}"/>
    <cellStyle name="40% - Accent6 2 4 3 2 2 3" xfId="11725" xr:uid="{00000000-0005-0000-0000-0000BC3C0000}"/>
    <cellStyle name="40% - Accent6 2 4 3 2 2 4" xfId="21083" xr:uid="{00000000-0005-0000-0000-0000BD3C0000}"/>
    <cellStyle name="40% - Accent6 2 4 3 2 3" xfId="11726" xr:uid="{00000000-0005-0000-0000-0000BE3C0000}"/>
    <cellStyle name="40% - Accent6 2 4 3 2 3 2" xfId="11727" xr:uid="{00000000-0005-0000-0000-0000BF3C0000}"/>
    <cellStyle name="40% - Accent6 2 4 3 2 3 3" xfId="22376" xr:uid="{00000000-0005-0000-0000-0000C03C0000}"/>
    <cellStyle name="40% - Accent6 2 4 3 2 4" xfId="11728" xr:uid="{00000000-0005-0000-0000-0000C13C0000}"/>
    <cellStyle name="40% - Accent6 2 4 3 2 5" xfId="19789" xr:uid="{00000000-0005-0000-0000-0000C23C0000}"/>
    <cellStyle name="40% - Accent6 2 4 3 3" xfId="11729" xr:uid="{00000000-0005-0000-0000-0000C33C0000}"/>
    <cellStyle name="40% - Accent6 2 4 3 3 2" xfId="11730" xr:uid="{00000000-0005-0000-0000-0000C43C0000}"/>
    <cellStyle name="40% - Accent6 2 4 3 3 2 2" xfId="11731" xr:uid="{00000000-0005-0000-0000-0000C53C0000}"/>
    <cellStyle name="40% - Accent6 2 4 3 3 2 3" xfId="23021" xr:uid="{00000000-0005-0000-0000-0000C63C0000}"/>
    <cellStyle name="40% - Accent6 2 4 3 3 3" xfId="11732" xr:uid="{00000000-0005-0000-0000-0000C73C0000}"/>
    <cellStyle name="40% - Accent6 2 4 3 3 4" xfId="20438" xr:uid="{00000000-0005-0000-0000-0000C83C0000}"/>
    <cellStyle name="40% - Accent6 2 4 3 4" xfId="11733" xr:uid="{00000000-0005-0000-0000-0000C93C0000}"/>
    <cellStyle name="40% - Accent6 2 4 3 4 2" xfId="11734" xr:uid="{00000000-0005-0000-0000-0000CA3C0000}"/>
    <cellStyle name="40% - Accent6 2 4 3 4 3" xfId="21731" xr:uid="{00000000-0005-0000-0000-0000CB3C0000}"/>
    <cellStyle name="40% - Accent6 2 4 3 5" xfId="11735" xr:uid="{00000000-0005-0000-0000-0000CC3C0000}"/>
    <cellStyle name="40% - Accent6 2 4 3 6" xfId="19141" xr:uid="{00000000-0005-0000-0000-0000CD3C0000}"/>
    <cellStyle name="40% - Accent6 2 4 4" xfId="11736" xr:uid="{00000000-0005-0000-0000-0000CE3C0000}"/>
    <cellStyle name="40% - Accent6 2 4 4 2" xfId="11737" xr:uid="{00000000-0005-0000-0000-0000CF3C0000}"/>
    <cellStyle name="40% - Accent6 2 4 4 2 2" xfId="11738" xr:uid="{00000000-0005-0000-0000-0000D03C0000}"/>
    <cellStyle name="40% - Accent6 2 4 4 2 2 2" xfId="11739" xr:uid="{00000000-0005-0000-0000-0000D13C0000}"/>
    <cellStyle name="40% - Accent6 2 4 4 2 2 3" xfId="23344" xr:uid="{00000000-0005-0000-0000-0000D23C0000}"/>
    <cellStyle name="40% - Accent6 2 4 4 2 3" xfId="11740" xr:uid="{00000000-0005-0000-0000-0000D33C0000}"/>
    <cellStyle name="40% - Accent6 2 4 4 2 4" xfId="20761" xr:uid="{00000000-0005-0000-0000-0000D43C0000}"/>
    <cellStyle name="40% - Accent6 2 4 4 3" xfId="11741" xr:uid="{00000000-0005-0000-0000-0000D53C0000}"/>
    <cellStyle name="40% - Accent6 2 4 4 3 2" xfId="11742" xr:uid="{00000000-0005-0000-0000-0000D63C0000}"/>
    <cellStyle name="40% - Accent6 2 4 4 3 3" xfId="22054" xr:uid="{00000000-0005-0000-0000-0000D73C0000}"/>
    <cellStyle name="40% - Accent6 2 4 4 4" xfId="11743" xr:uid="{00000000-0005-0000-0000-0000D83C0000}"/>
    <cellStyle name="40% - Accent6 2 4 4 5" xfId="19467" xr:uid="{00000000-0005-0000-0000-0000D93C0000}"/>
    <cellStyle name="40% - Accent6 2 4 5" xfId="11744" xr:uid="{00000000-0005-0000-0000-0000DA3C0000}"/>
    <cellStyle name="40% - Accent6 2 4 5 2" xfId="11745" xr:uid="{00000000-0005-0000-0000-0000DB3C0000}"/>
    <cellStyle name="40% - Accent6 2 4 5 2 2" xfId="11746" xr:uid="{00000000-0005-0000-0000-0000DC3C0000}"/>
    <cellStyle name="40% - Accent6 2 4 5 2 3" xfId="22699" xr:uid="{00000000-0005-0000-0000-0000DD3C0000}"/>
    <cellStyle name="40% - Accent6 2 4 5 3" xfId="11747" xr:uid="{00000000-0005-0000-0000-0000DE3C0000}"/>
    <cellStyle name="40% - Accent6 2 4 5 4" xfId="20116" xr:uid="{00000000-0005-0000-0000-0000DF3C0000}"/>
    <cellStyle name="40% - Accent6 2 4 6" xfId="11748" xr:uid="{00000000-0005-0000-0000-0000E03C0000}"/>
    <cellStyle name="40% - Accent6 2 4 6 2" xfId="11749" xr:uid="{00000000-0005-0000-0000-0000E13C0000}"/>
    <cellStyle name="40% - Accent6 2 4 6 3" xfId="21409" xr:uid="{00000000-0005-0000-0000-0000E23C0000}"/>
    <cellStyle name="40% - Accent6 2 4 7" xfId="11750" xr:uid="{00000000-0005-0000-0000-0000E33C0000}"/>
    <cellStyle name="40% - Accent6 2 4 8" xfId="18808" xr:uid="{00000000-0005-0000-0000-0000E43C0000}"/>
    <cellStyle name="40% - Accent6 2 5" xfId="11751" xr:uid="{00000000-0005-0000-0000-0000E53C0000}"/>
    <cellStyle name="40% - Accent6 2 5 2" xfId="11752" xr:uid="{00000000-0005-0000-0000-0000E63C0000}"/>
    <cellStyle name="40% - Accent6 2 5 2 2" xfId="11753" xr:uid="{00000000-0005-0000-0000-0000E73C0000}"/>
    <cellStyle name="40% - Accent6 2 5 2 2 2" xfId="11754" xr:uid="{00000000-0005-0000-0000-0000E83C0000}"/>
    <cellStyle name="40% - Accent6 2 5 2 2 2 2" xfId="11755" xr:uid="{00000000-0005-0000-0000-0000E93C0000}"/>
    <cellStyle name="40% - Accent6 2 5 2 2 2 2 2" xfId="11756" xr:uid="{00000000-0005-0000-0000-0000EA3C0000}"/>
    <cellStyle name="40% - Accent6 2 5 2 2 2 2 3" xfId="23747" xr:uid="{00000000-0005-0000-0000-0000EB3C0000}"/>
    <cellStyle name="40% - Accent6 2 5 2 2 2 3" xfId="11757" xr:uid="{00000000-0005-0000-0000-0000EC3C0000}"/>
    <cellStyle name="40% - Accent6 2 5 2 2 2 4" xfId="21164" xr:uid="{00000000-0005-0000-0000-0000ED3C0000}"/>
    <cellStyle name="40% - Accent6 2 5 2 2 3" xfId="11758" xr:uid="{00000000-0005-0000-0000-0000EE3C0000}"/>
    <cellStyle name="40% - Accent6 2 5 2 2 3 2" xfId="11759" xr:uid="{00000000-0005-0000-0000-0000EF3C0000}"/>
    <cellStyle name="40% - Accent6 2 5 2 2 3 3" xfId="22457" xr:uid="{00000000-0005-0000-0000-0000F03C0000}"/>
    <cellStyle name="40% - Accent6 2 5 2 2 4" xfId="11760" xr:uid="{00000000-0005-0000-0000-0000F13C0000}"/>
    <cellStyle name="40% - Accent6 2 5 2 2 5" xfId="19870" xr:uid="{00000000-0005-0000-0000-0000F23C0000}"/>
    <cellStyle name="40% - Accent6 2 5 2 3" xfId="11761" xr:uid="{00000000-0005-0000-0000-0000F33C0000}"/>
    <cellStyle name="40% - Accent6 2 5 2 3 2" xfId="11762" xr:uid="{00000000-0005-0000-0000-0000F43C0000}"/>
    <cellStyle name="40% - Accent6 2 5 2 3 2 2" xfId="11763" xr:uid="{00000000-0005-0000-0000-0000F53C0000}"/>
    <cellStyle name="40% - Accent6 2 5 2 3 2 3" xfId="23102" xr:uid="{00000000-0005-0000-0000-0000F63C0000}"/>
    <cellStyle name="40% - Accent6 2 5 2 3 3" xfId="11764" xr:uid="{00000000-0005-0000-0000-0000F73C0000}"/>
    <cellStyle name="40% - Accent6 2 5 2 3 4" xfId="20519" xr:uid="{00000000-0005-0000-0000-0000F83C0000}"/>
    <cellStyle name="40% - Accent6 2 5 2 4" xfId="11765" xr:uid="{00000000-0005-0000-0000-0000F93C0000}"/>
    <cellStyle name="40% - Accent6 2 5 2 4 2" xfId="11766" xr:uid="{00000000-0005-0000-0000-0000FA3C0000}"/>
    <cellStyle name="40% - Accent6 2 5 2 4 3" xfId="21812" xr:uid="{00000000-0005-0000-0000-0000FB3C0000}"/>
    <cellStyle name="40% - Accent6 2 5 2 5" xfId="11767" xr:uid="{00000000-0005-0000-0000-0000FC3C0000}"/>
    <cellStyle name="40% - Accent6 2 5 2 6" xfId="19222" xr:uid="{00000000-0005-0000-0000-0000FD3C0000}"/>
    <cellStyle name="40% - Accent6 2 5 3" xfId="11768" xr:uid="{00000000-0005-0000-0000-0000FE3C0000}"/>
    <cellStyle name="40% - Accent6 2 5 3 2" xfId="11769" xr:uid="{00000000-0005-0000-0000-0000FF3C0000}"/>
    <cellStyle name="40% - Accent6 2 5 3 2 2" xfId="11770" xr:uid="{00000000-0005-0000-0000-0000003D0000}"/>
    <cellStyle name="40% - Accent6 2 5 3 2 2 2" xfId="11771" xr:uid="{00000000-0005-0000-0000-0000013D0000}"/>
    <cellStyle name="40% - Accent6 2 5 3 2 2 3" xfId="23425" xr:uid="{00000000-0005-0000-0000-0000023D0000}"/>
    <cellStyle name="40% - Accent6 2 5 3 2 3" xfId="11772" xr:uid="{00000000-0005-0000-0000-0000033D0000}"/>
    <cellStyle name="40% - Accent6 2 5 3 2 4" xfId="20842" xr:uid="{00000000-0005-0000-0000-0000043D0000}"/>
    <cellStyle name="40% - Accent6 2 5 3 3" xfId="11773" xr:uid="{00000000-0005-0000-0000-0000053D0000}"/>
    <cellStyle name="40% - Accent6 2 5 3 3 2" xfId="11774" xr:uid="{00000000-0005-0000-0000-0000063D0000}"/>
    <cellStyle name="40% - Accent6 2 5 3 3 3" xfId="22135" xr:uid="{00000000-0005-0000-0000-0000073D0000}"/>
    <cellStyle name="40% - Accent6 2 5 3 4" xfId="11775" xr:uid="{00000000-0005-0000-0000-0000083D0000}"/>
    <cellStyle name="40% - Accent6 2 5 3 5" xfId="19548" xr:uid="{00000000-0005-0000-0000-0000093D0000}"/>
    <cellStyle name="40% - Accent6 2 5 4" xfId="11776" xr:uid="{00000000-0005-0000-0000-00000A3D0000}"/>
    <cellStyle name="40% - Accent6 2 5 4 2" xfId="11777" xr:uid="{00000000-0005-0000-0000-00000B3D0000}"/>
    <cellStyle name="40% - Accent6 2 5 4 2 2" xfId="11778" xr:uid="{00000000-0005-0000-0000-00000C3D0000}"/>
    <cellStyle name="40% - Accent6 2 5 4 2 3" xfId="22780" xr:uid="{00000000-0005-0000-0000-00000D3D0000}"/>
    <cellStyle name="40% - Accent6 2 5 4 3" xfId="11779" xr:uid="{00000000-0005-0000-0000-00000E3D0000}"/>
    <cellStyle name="40% - Accent6 2 5 4 4" xfId="20197" xr:uid="{00000000-0005-0000-0000-00000F3D0000}"/>
    <cellStyle name="40% - Accent6 2 5 5" xfId="11780" xr:uid="{00000000-0005-0000-0000-0000103D0000}"/>
    <cellStyle name="40% - Accent6 2 5 5 2" xfId="11781" xr:uid="{00000000-0005-0000-0000-0000113D0000}"/>
    <cellStyle name="40% - Accent6 2 5 5 3" xfId="21490" xr:uid="{00000000-0005-0000-0000-0000123D0000}"/>
    <cellStyle name="40% - Accent6 2 5 6" xfId="11782" xr:uid="{00000000-0005-0000-0000-0000133D0000}"/>
    <cellStyle name="40% - Accent6 2 5 7" xfId="18896" xr:uid="{00000000-0005-0000-0000-0000143D0000}"/>
    <cellStyle name="40% - Accent6 2 6" xfId="11783" xr:uid="{00000000-0005-0000-0000-0000153D0000}"/>
    <cellStyle name="40% - Accent6 2 6 2" xfId="11784" xr:uid="{00000000-0005-0000-0000-0000163D0000}"/>
    <cellStyle name="40% - Accent6 2 6 2 2" xfId="11785" xr:uid="{00000000-0005-0000-0000-0000173D0000}"/>
    <cellStyle name="40% - Accent6 2 6 2 2 2" xfId="11786" xr:uid="{00000000-0005-0000-0000-0000183D0000}"/>
    <cellStyle name="40% - Accent6 2 6 2 2 2 2" xfId="11787" xr:uid="{00000000-0005-0000-0000-0000193D0000}"/>
    <cellStyle name="40% - Accent6 2 6 2 2 2 3" xfId="23586" xr:uid="{00000000-0005-0000-0000-00001A3D0000}"/>
    <cellStyle name="40% - Accent6 2 6 2 2 3" xfId="11788" xr:uid="{00000000-0005-0000-0000-00001B3D0000}"/>
    <cellStyle name="40% - Accent6 2 6 2 2 4" xfId="21003" xr:uid="{00000000-0005-0000-0000-00001C3D0000}"/>
    <cellStyle name="40% - Accent6 2 6 2 3" xfId="11789" xr:uid="{00000000-0005-0000-0000-00001D3D0000}"/>
    <cellStyle name="40% - Accent6 2 6 2 3 2" xfId="11790" xr:uid="{00000000-0005-0000-0000-00001E3D0000}"/>
    <cellStyle name="40% - Accent6 2 6 2 3 3" xfId="22296" xr:uid="{00000000-0005-0000-0000-00001F3D0000}"/>
    <cellStyle name="40% - Accent6 2 6 2 4" xfId="11791" xr:uid="{00000000-0005-0000-0000-0000203D0000}"/>
    <cellStyle name="40% - Accent6 2 6 2 5" xfId="19709" xr:uid="{00000000-0005-0000-0000-0000213D0000}"/>
    <cellStyle name="40% - Accent6 2 6 3" xfId="11792" xr:uid="{00000000-0005-0000-0000-0000223D0000}"/>
    <cellStyle name="40% - Accent6 2 6 3 2" xfId="11793" xr:uid="{00000000-0005-0000-0000-0000233D0000}"/>
    <cellStyle name="40% - Accent6 2 6 3 2 2" xfId="11794" xr:uid="{00000000-0005-0000-0000-0000243D0000}"/>
    <cellStyle name="40% - Accent6 2 6 3 2 3" xfId="22941" xr:uid="{00000000-0005-0000-0000-0000253D0000}"/>
    <cellStyle name="40% - Accent6 2 6 3 3" xfId="11795" xr:uid="{00000000-0005-0000-0000-0000263D0000}"/>
    <cellStyle name="40% - Accent6 2 6 3 4" xfId="20358" xr:uid="{00000000-0005-0000-0000-0000273D0000}"/>
    <cellStyle name="40% - Accent6 2 6 4" xfId="11796" xr:uid="{00000000-0005-0000-0000-0000283D0000}"/>
    <cellStyle name="40% - Accent6 2 6 4 2" xfId="11797" xr:uid="{00000000-0005-0000-0000-0000293D0000}"/>
    <cellStyle name="40% - Accent6 2 6 4 3" xfId="21651" xr:uid="{00000000-0005-0000-0000-00002A3D0000}"/>
    <cellStyle name="40% - Accent6 2 6 5" xfId="11798" xr:uid="{00000000-0005-0000-0000-00002B3D0000}"/>
    <cellStyle name="40% - Accent6 2 6 6" xfId="19061" xr:uid="{00000000-0005-0000-0000-00002C3D0000}"/>
    <cellStyle name="40% - Accent6 2 7" xfId="11799" xr:uid="{00000000-0005-0000-0000-00002D3D0000}"/>
    <cellStyle name="40% - Accent6 2 7 2" xfId="11800" xr:uid="{00000000-0005-0000-0000-00002E3D0000}"/>
    <cellStyle name="40% - Accent6 2 7 2 2" xfId="11801" xr:uid="{00000000-0005-0000-0000-00002F3D0000}"/>
    <cellStyle name="40% - Accent6 2 7 2 2 2" xfId="11802" xr:uid="{00000000-0005-0000-0000-0000303D0000}"/>
    <cellStyle name="40% - Accent6 2 7 2 2 3" xfId="23263" xr:uid="{00000000-0005-0000-0000-0000313D0000}"/>
    <cellStyle name="40% - Accent6 2 7 2 3" xfId="11803" xr:uid="{00000000-0005-0000-0000-0000323D0000}"/>
    <cellStyle name="40% - Accent6 2 7 2 4" xfId="20680" xr:uid="{00000000-0005-0000-0000-0000333D0000}"/>
    <cellStyle name="40% - Accent6 2 7 3" xfId="11804" xr:uid="{00000000-0005-0000-0000-0000343D0000}"/>
    <cellStyle name="40% - Accent6 2 7 3 2" xfId="11805" xr:uid="{00000000-0005-0000-0000-0000353D0000}"/>
    <cellStyle name="40% - Accent6 2 7 3 3" xfId="21973" xr:uid="{00000000-0005-0000-0000-0000363D0000}"/>
    <cellStyle name="40% - Accent6 2 7 4" xfId="11806" xr:uid="{00000000-0005-0000-0000-0000373D0000}"/>
    <cellStyle name="40% - Accent6 2 7 5" xfId="19387" xr:uid="{00000000-0005-0000-0000-0000383D0000}"/>
    <cellStyle name="40% - Accent6 2 8" xfId="11807" xr:uid="{00000000-0005-0000-0000-0000393D0000}"/>
    <cellStyle name="40% - Accent6 2 8 2" xfId="11808" xr:uid="{00000000-0005-0000-0000-00003A3D0000}"/>
    <cellStyle name="40% - Accent6 2 8 2 2" xfId="11809" xr:uid="{00000000-0005-0000-0000-00003B3D0000}"/>
    <cellStyle name="40% - Accent6 2 8 2 3" xfId="22618" xr:uid="{00000000-0005-0000-0000-00003C3D0000}"/>
    <cellStyle name="40% - Accent6 2 8 3" xfId="11810" xr:uid="{00000000-0005-0000-0000-00003D3D0000}"/>
    <cellStyle name="40% - Accent6 2 8 4" xfId="20035" xr:uid="{00000000-0005-0000-0000-00003E3D0000}"/>
    <cellStyle name="40% - Accent6 2 9" xfId="11811" xr:uid="{00000000-0005-0000-0000-00003F3D0000}"/>
    <cellStyle name="40% - Accent6 2 9 2" xfId="11812" xr:uid="{00000000-0005-0000-0000-0000403D0000}"/>
    <cellStyle name="40% - Accent6 2 9 3" xfId="21328" xr:uid="{00000000-0005-0000-0000-0000413D0000}"/>
    <cellStyle name="40% - Accent6 3" xfId="11813" xr:uid="{00000000-0005-0000-0000-0000423D0000}"/>
    <cellStyle name="40% - Accent6 3 10" xfId="18716" xr:uid="{00000000-0005-0000-0000-0000433D0000}"/>
    <cellStyle name="40% - Accent6 3 2" xfId="11814" xr:uid="{00000000-0005-0000-0000-0000443D0000}"/>
    <cellStyle name="40% - Accent6 3 2 2" xfId="11815" xr:uid="{00000000-0005-0000-0000-0000453D0000}"/>
    <cellStyle name="40% - Accent6 3 2 2 2" xfId="11816" xr:uid="{00000000-0005-0000-0000-0000463D0000}"/>
    <cellStyle name="40% - Accent6 3 2 2 2 2" xfId="11817" xr:uid="{00000000-0005-0000-0000-0000473D0000}"/>
    <cellStyle name="40% - Accent6 3 2 2 2 2 2" xfId="11818" xr:uid="{00000000-0005-0000-0000-0000483D0000}"/>
    <cellStyle name="40% - Accent6 3 2 2 2 2 2 2" xfId="11819" xr:uid="{00000000-0005-0000-0000-0000493D0000}"/>
    <cellStyle name="40% - Accent6 3 2 2 2 2 2 2 2" xfId="11820" xr:uid="{00000000-0005-0000-0000-00004A3D0000}"/>
    <cellStyle name="40% - Accent6 3 2 2 2 2 2 2 2 2" xfId="11821" xr:uid="{00000000-0005-0000-0000-00004B3D0000}"/>
    <cellStyle name="40% - Accent6 3 2 2 2 2 2 2 2 3" xfId="23877" xr:uid="{00000000-0005-0000-0000-00004C3D0000}"/>
    <cellStyle name="40% - Accent6 3 2 2 2 2 2 2 3" xfId="11822" xr:uid="{00000000-0005-0000-0000-00004D3D0000}"/>
    <cellStyle name="40% - Accent6 3 2 2 2 2 2 2 4" xfId="21294" xr:uid="{00000000-0005-0000-0000-00004E3D0000}"/>
    <cellStyle name="40% - Accent6 3 2 2 2 2 2 3" xfId="11823" xr:uid="{00000000-0005-0000-0000-00004F3D0000}"/>
    <cellStyle name="40% - Accent6 3 2 2 2 2 2 3 2" xfId="11824" xr:uid="{00000000-0005-0000-0000-0000503D0000}"/>
    <cellStyle name="40% - Accent6 3 2 2 2 2 2 3 3" xfId="22587" xr:uid="{00000000-0005-0000-0000-0000513D0000}"/>
    <cellStyle name="40% - Accent6 3 2 2 2 2 2 4" xfId="11825" xr:uid="{00000000-0005-0000-0000-0000523D0000}"/>
    <cellStyle name="40% - Accent6 3 2 2 2 2 2 5" xfId="20000" xr:uid="{00000000-0005-0000-0000-0000533D0000}"/>
    <cellStyle name="40% - Accent6 3 2 2 2 2 3" xfId="11826" xr:uid="{00000000-0005-0000-0000-0000543D0000}"/>
    <cellStyle name="40% - Accent6 3 2 2 2 2 3 2" xfId="11827" xr:uid="{00000000-0005-0000-0000-0000553D0000}"/>
    <cellStyle name="40% - Accent6 3 2 2 2 2 3 2 2" xfId="11828" xr:uid="{00000000-0005-0000-0000-0000563D0000}"/>
    <cellStyle name="40% - Accent6 3 2 2 2 2 3 2 3" xfId="23232" xr:uid="{00000000-0005-0000-0000-0000573D0000}"/>
    <cellStyle name="40% - Accent6 3 2 2 2 2 3 3" xfId="11829" xr:uid="{00000000-0005-0000-0000-0000583D0000}"/>
    <cellStyle name="40% - Accent6 3 2 2 2 2 3 4" xfId="20649" xr:uid="{00000000-0005-0000-0000-0000593D0000}"/>
    <cellStyle name="40% - Accent6 3 2 2 2 2 4" xfId="11830" xr:uid="{00000000-0005-0000-0000-00005A3D0000}"/>
    <cellStyle name="40% - Accent6 3 2 2 2 2 4 2" xfId="11831" xr:uid="{00000000-0005-0000-0000-00005B3D0000}"/>
    <cellStyle name="40% - Accent6 3 2 2 2 2 4 3" xfId="21942" xr:uid="{00000000-0005-0000-0000-00005C3D0000}"/>
    <cellStyle name="40% - Accent6 3 2 2 2 2 5" xfId="11832" xr:uid="{00000000-0005-0000-0000-00005D3D0000}"/>
    <cellStyle name="40% - Accent6 3 2 2 2 2 6" xfId="19352" xr:uid="{00000000-0005-0000-0000-00005E3D0000}"/>
    <cellStyle name="40% - Accent6 3 2 2 2 3" xfId="11833" xr:uid="{00000000-0005-0000-0000-00005F3D0000}"/>
    <cellStyle name="40% - Accent6 3 2 2 2 3 2" xfId="11834" xr:uid="{00000000-0005-0000-0000-0000603D0000}"/>
    <cellStyle name="40% - Accent6 3 2 2 2 3 2 2" xfId="11835" xr:uid="{00000000-0005-0000-0000-0000613D0000}"/>
    <cellStyle name="40% - Accent6 3 2 2 2 3 2 2 2" xfId="11836" xr:uid="{00000000-0005-0000-0000-0000623D0000}"/>
    <cellStyle name="40% - Accent6 3 2 2 2 3 2 2 3" xfId="23555" xr:uid="{00000000-0005-0000-0000-0000633D0000}"/>
    <cellStyle name="40% - Accent6 3 2 2 2 3 2 3" xfId="11837" xr:uid="{00000000-0005-0000-0000-0000643D0000}"/>
    <cellStyle name="40% - Accent6 3 2 2 2 3 2 4" xfId="20972" xr:uid="{00000000-0005-0000-0000-0000653D0000}"/>
    <cellStyle name="40% - Accent6 3 2 2 2 3 3" xfId="11838" xr:uid="{00000000-0005-0000-0000-0000663D0000}"/>
    <cellStyle name="40% - Accent6 3 2 2 2 3 3 2" xfId="11839" xr:uid="{00000000-0005-0000-0000-0000673D0000}"/>
    <cellStyle name="40% - Accent6 3 2 2 2 3 3 3" xfId="22265" xr:uid="{00000000-0005-0000-0000-0000683D0000}"/>
    <cellStyle name="40% - Accent6 3 2 2 2 3 4" xfId="11840" xr:uid="{00000000-0005-0000-0000-0000693D0000}"/>
    <cellStyle name="40% - Accent6 3 2 2 2 3 5" xfId="19678" xr:uid="{00000000-0005-0000-0000-00006A3D0000}"/>
    <cellStyle name="40% - Accent6 3 2 2 2 4" xfId="11841" xr:uid="{00000000-0005-0000-0000-00006B3D0000}"/>
    <cellStyle name="40% - Accent6 3 2 2 2 4 2" xfId="11842" xr:uid="{00000000-0005-0000-0000-00006C3D0000}"/>
    <cellStyle name="40% - Accent6 3 2 2 2 4 2 2" xfId="11843" xr:uid="{00000000-0005-0000-0000-00006D3D0000}"/>
    <cellStyle name="40% - Accent6 3 2 2 2 4 2 3" xfId="22910" xr:uid="{00000000-0005-0000-0000-00006E3D0000}"/>
    <cellStyle name="40% - Accent6 3 2 2 2 4 3" xfId="11844" xr:uid="{00000000-0005-0000-0000-00006F3D0000}"/>
    <cellStyle name="40% - Accent6 3 2 2 2 4 4" xfId="20327" xr:uid="{00000000-0005-0000-0000-0000703D0000}"/>
    <cellStyle name="40% - Accent6 3 2 2 2 5" xfId="11845" xr:uid="{00000000-0005-0000-0000-0000713D0000}"/>
    <cellStyle name="40% - Accent6 3 2 2 2 5 2" xfId="11846" xr:uid="{00000000-0005-0000-0000-0000723D0000}"/>
    <cellStyle name="40% - Accent6 3 2 2 2 5 3" xfId="21620" xr:uid="{00000000-0005-0000-0000-0000733D0000}"/>
    <cellStyle name="40% - Accent6 3 2 2 2 6" xfId="11847" xr:uid="{00000000-0005-0000-0000-0000743D0000}"/>
    <cellStyle name="40% - Accent6 3 2 2 2 7" xfId="19026" xr:uid="{00000000-0005-0000-0000-0000753D0000}"/>
    <cellStyle name="40% - Accent6 3 2 2 3" xfId="11848" xr:uid="{00000000-0005-0000-0000-0000763D0000}"/>
    <cellStyle name="40% - Accent6 3 2 2 3 2" xfId="11849" xr:uid="{00000000-0005-0000-0000-0000773D0000}"/>
    <cellStyle name="40% - Accent6 3 2 2 3 2 2" xfId="11850" xr:uid="{00000000-0005-0000-0000-0000783D0000}"/>
    <cellStyle name="40% - Accent6 3 2 2 3 2 2 2" xfId="11851" xr:uid="{00000000-0005-0000-0000-0000793D0000}"/>
    <cellStyle name="40% - Accent6 3 2 2 3 2 2 2 2" xfId="11852" xr:uid="{00000000-0005-0000-0000-00007A3D0000}"/>
    <cellStyle name="40% - Accent6 3 2 2 3 2 2 2 3" xfId="23716" xr:uid="{00000000-0005-0000-0000-00007B3D0000}"/>
    <cellStyle name="40% - Accent6 3 2 2 3 2 2 3" xfId="11853" xr:uid="{00000000-0005-0000-0000-00007C3D0000}"/>
    <cellStyle name="40% - Accent6 3 2 2 3 2 2 4" xfId="21133" xr:uid="{00000000-0005-0000-0000-00007D3D0000}"/>
    <cellStyle name="40% - Accent6 3 2 2 3 2 3" xfId="11854" xr:uid="{00000000-0005-0000-0000-00007E3D0000}"/>
    <cellStyle name="40% - Accent6 3 2 2 3 2 3 2" xfId="11855" xr:uid="{00000000-0005-0000-0000-00007F3D0000}"/>
    <cellStyle name="40% - Accent6 3 2 2 3 2 3 3" xfId="22426" xr:uid="{00000000-0005-0000-0000-0000803D0000}"/>
    <cellStyle name="40% - Accent6 3 2 2 3 2 4" xfId="11856" xr:uid="{00000000-0005-0000-0000-0000813D0000}"/>
    <cellStyle name="40% - Accent6 3 2 2 3 2 5" xfId="19839" xr:uid="{00000000-0005-0000-0000-0000823D0000}"/>
    <cellStyle name="40% - Accent6 3 2 2 3 3" xfId="11857" xr:uid="{00000000-0005-0000-0000-0000833D0000}"/>
    <cellStyle name="40% - Accent6 3 2 2 3 3 2" xfId="11858" xr:uid="{00000000-0005-0000-0000-0000843D0000}"/>
    <cellStyle name="40% - Accent6 3 2 2 3 3 2 2" xfId="11859" xr:uid="{00000000-0005-0000-0000-0000853D0000}"/>
    <cellStyle name="40% - Accent6 3 2 2 3 3 2 3" xfId="23071" xr:uid="{00000000-0005-0000-0000-0000863D0000}"/>
    <cellStyle name="40% - Accent6 3 2 2 3 3 3" xfId="11860" xr:uid="{00000000-0005-0000-0000-0000873D0000}"/>
    <cellStyle name="40% - Accent6 3 2 2 3 3 4" xfId="20488" xr:uid="{00000000-0005-0000-0000-0000883D0000}"/>
    <cellStyle name="40% - Accent6 3 2 2 3 4" xfId="11861" xr:uid="{00000000-0005-0000-0000-0000893D0000}"/>
    <cellStyle name="40% - Accent6 3 2 2 3 4 2" xfId="11862" xr:uid="{00000000-0005-0000-0000-00008A3D0000}"/>
    <cellStyle name="40% - Accent6 3 2 2 3 4 3" xfId="21781" xr:uid="{00000000-0005-0000-0000-00008B3D0000}"/>
    <cellStyle name="40% - Accent6 3 2 2 3 5" xfId="11863" xr:uid="{00000000-0005-0000-0000-00008C3D0000}"/>
    <cellStyle name="40% - Accent6 3 2 2 3 6" xfId="19191" xr:uid="{00000000-0005-0000-0000-00008D3D0000}"/>
    <cellStyle name="40% - Accent6 3 2 2 4" xfId="11864" xr:uid="{00000000-0005-0000-0000-00008E3D0000}"/>
    <cellStyle name="40% - Accent6 3 2 2 4 2" xfId="11865" xr:uid="{00000000-0005-0000-0000-00008F3D0000}"/>
    <cellStyle name="40% - Accent6 3 2 2 4 2 2" xfId="11866" xr:uid="{00000000-0005-0000-0000-0000903D0000}"/>
    <cellStyle name="40% - Accent6 3 2 2 4 2 2 2" xfId="11867" xr:uid="{00000000-0005-0000-0000-0000913D0000}"/>
    <cellStyle name="40% - Accent6 3 2 2 4 2 2 3" xfId="23394" xr:uid="{00000000-0005-0000-0000-0000923D0000}"/>
    <cellStyle name="40% - Accent6 3 2 2 4 2 3" xfId="11868" xr:uid="{00000000-0005-0000-0000-0000933D0000}"/>
    <cellStyle name="40% - Accent6 3 2 2 4 2 4" xfId="20811" xr:uid="{00000000-0005-0000-0000-0000943D0000}"/>
    <cellStyle name="40% - Accent6 3 2 2 4 3" xfId="11869" xr:uid="{00000000-0005-0000-0000-0000953D0000}"/>
    <cellStyle name="40% - Accent6 3 2 2 4 3 2" xfId="11870" xr:uid="{00000000-0005-0000-0000-0000963D0000}"/>
    <cellStyle name="40% - Accent6 3 2 2 4 3 3" xfId="22104" xr:uid="{00000000-0005-0000-0000-0000973D0000}"/>
    <cellStyle name="40% - Accent6 3 2 2 4 4" xfId="11871" xr:uid="{00000000-0005-0000-0000-0000983D0000}"/>
    <cellStyle name="40% - Accent6 3 2 2 4 5" xfId="19517" xr:uid="{00000000-0005-0000-0000-0000993D0000}"/>
    <cellStyle name="40% - Accent6 3 2 2 5" xfId="11872" xr:uid="{00000000-0005-0000-0000-00009A3D0000}"/>
    <cellStyle name="40% - Accent6 3 2 2 5 2" xfId="11873" xr:uid="{00000000-0005-0000-0000-00009B3D0000}"/>
    <cellStyle name="40% - Accent6 3 2 2 5 2 2" xfId="11874" xr:uid="{00000000-0005-0000-0000-00009C3D0000}"/>
    <cellStyle name="40% - Accent6 3 2 2 5 2 3" xfId="22749" xr:uid="{00000000-0005-0000-0000-00009D3D0000}"/>
    <cellStyle name="40% - Accent6 3 2 2 5 3" xfId="11875" xr:uid="{00000000-0005-0000-0000-00009E3D0000}"/>
    <cellStyle name="40% - Accent6 3 2 2 5 4" xfId="20166" xr:uid="{00000000-0005-0000-0000-00009F3D0000}"/>
    <cellStyle name="40% - Accent6 3 2 2 6" xfId="11876" xr:uid="{00000000-0005-0000-0000-0000A03D0000}"/>
    <cellStyle name="40% - Accent6 3 2 2 6 2" xfId="11877" xr:uid="{00000000-0005-0000-0000-0000A13D0000}"/>
    <cellStyle name="40% - Accent6 3 2 2 6 3" xfId="21459" xr:uid="{00000000-0005-0000-0000-0000A23D0000}"/>
    <cellStyle name="40% - Accent6 3 2 2 7" xfId="11878" xr:uid="{00000000-0005-0000-0000-0000A33D0000}"/>
    <cellStyle name="40% - Accent6 3 2 2 8" xfId="18861" xr:uid="{00000000-0005-0000-0000-0000A43D0000}"/>
    <cellStyle name="40% - Accent6 3 2 3" xfId="11879" xr:uid="{00000000-0005-0000-0000-0000A53D0000}"/>
    <cellStyle name="40% - Accent6 3 2 3 2" xfId="11880" xr:uid="{00000000-0005-0000-0000-0000A63D0000}"/>
    <cellStyle name="40% - Accent6 3 2 3 2 2" xfId="11881" xr:uid="{00000000-0005-0000-0000-0000A73D0000}"/>
    <cellStyle name="40% - Accent6 3 2 3 2 2 2" xfId="11882" xr:uid="{00000000-0005-0000-0000-0000A83D0000}"/>
    <cellStyle name="40% - Accent6 3 2 3 2 2 2 2" xfId="11883" xr:uid="{00000000-0005-0000-0000-0000A93D0000}"/>
    <cellStyle name="40% - Accent6 3 2 3 2 2 2 2 2" xfId="11884" xr:uid="{00000000-0005-0000-0000-0000AA3D0000}"/>
    <cellStyle name="40% - Accent6 3 2 3 2 2 2 2 3" xfId="23797" xr:uid="{00000000-0005-0000-0000-0000AB3D0000}"/>
    <cellStyle name="40% - Accent6 3 2 3 2 2 2 3" xfId="11885" xr:uid="{00000000-0005-0000-0000-0000AC3D0000}"/>
    <cellStyle name="40% - Accent6 3 2 3 2 2 2 4" xfId="21214" xr:uid="{00000000-0005-0000-0000-0000AD3D0000}"/>
    <cellStyle name="40% - Accent6 3 2 3 2 2 3" xfId="11886" xr:uid="{00000000-0005-0000-0000-0000AE3D0000}"/>
    <cellStyle name="40% - Accent6 3 2 3 2 2 3 2" xfId="11887" xr:uid="{00000000-0005-0000-0000-0000AF3D0000}"/>
    <cellStyle name="40% - Accent6 3 2 3 2 2 3 3" xfId="22507" xr:uid="{00000000-0005-0000-0000-0000B03D0000}"/>
    <cellStyle name="40% - Accent6 3 2 3 2 2 4" xfId="11888" xr:uid="{00000000-0005-0000-0000-0000B13D0000}"/>
    <cellStyle name="40% - Accent6 3 2 3 2 2 5" xfId="19920" xr:uid="{00000000-0005-0000-0000-0000B23D0000}"/>
    <cellStyle name="40% - Accent6 3 2 3 2 3" xfId="11889" xr:uid="{00000000-0005-0000-0000-0000B33D0000}"/>
    <cellStyle name="40% - Accent6 3 2 3 2 3 2" xfId="11890" xr:uid="{00000000-0005-0000-0000-0000B43D0000}"/>
    <cellStyle name="40% - Accent6 3 2 3 2 3 2 2" xfId="11891" xr:uid="{00000000-0005-0000-0000-0000B53D0000}"/>
    <cellStyle name="40% - Accent6 3 2 3 2 3 2 3" xfId="23152" xr:uid="{00000000-0005-0000-0000-0000B63D0000}"/>
    <cellStyle name="40% - Accent6 3 2 3 2 3 3" xfId="11892" xr:uid="{00000000-0005-0000-0000-0000B73D0000}"/>
    <cellStyle name="40% - Accent6 3 2 3 2 3 4" xfId="20569" xr:uid="{00000000-0005-0000-0000-0000B83D0000}"/>
    <cellStyle name="40% - Accent6 3 2 3 2 4" xfId="11893" xr:uid="{00000000-0005-0000-0000-0000B93D0000}"/>
    <cellStyle name="40% - Accent6 3 2 3 2 4 2" xfId="11894" xr:uid="{00000000-0005-0000-0000-0000BA3D0000}"/>
    <cellStyle name="40% - Accent6 3 2 3 2 4 3" xfId="21862" xr:uid="{00000000-0005-0000-0000-0000BB3D0000}"/>
    <cellStyle name="40% - Accent6 3 2 3 2 5" xfId="11895" xr:uid="{00000000-0005-0000-0000-0000BC3D0000}"/>
    <cellStyle name="40% - Accent6 3 2 3 2 6" xfId="19272" xr:uid="{00000000-0005-0000-0000-0000BD3D0000}"/>
    <cellStyle name="40% - Accent6 3 2 3 3" xfId="11896" xr:uid="{00000000-0005-0000-0000-0000BE3D0000}"/>
    <cellStyle name="40% - Accent6 3 2 3 3 2" xfId="11897" xr:uid="{00000000-0005-0000-0000-0000BF3D0000}"/>
    <cellStyle name="40% - Accent6 3 2 3 3 2 2" xfId="11898" xr:uid="{00000000-0005-0000-0000-0000C03D0000}"/>
    <cellStyle name="40% - Accent6 3 2 3 3 2 2 2" xfId="11899" xr:uid="{00000000-0005-0000-0000-0000C13D0000}"/>
    <cellStyle name="40% - Accent6 3 2 3 3 2 2 3" xfId="23475" xr:uid="{00000000-0005-0000-0000-0000C23D0000}"/>
    <cellStyle name="40% - Accent6 3 2 3 3 2 3" xfId="11900" xr:uid="{00000000-0005-0000-0000-0000C33D0000}"/>
    <cellStyle name="40% - Accent6 3 2 3 3 2 4" xfId="20892" xr:uid="{00000000-0005-0000-0000-0000C43D0000}"/>
    <cellStyle name="40% - Accent6 3 2 3 3 3" xfId="11901" xr:uid="{00000000-0005-0000-0000-0000C53D0000}"/>
    <cellStyle name="40% - Accent6 3 2 3 3 3 2" xfId="11902" xr:uid="{00000000-0005-0000-0000-0000C63D0000}"/>
    <cellStyle name="40% - Accent6 3 2 3 3 3 3" xfId="22185" xr:uid="{00000000-0005-0000-0000-0000C73D0000}"/>
    <cellStyle name="40% - Accent6 3 2 3 3 4" xfId="11903" xr:uid="{00000000-0005-0000-0000-0000C83D0000}"/>
    <cellStyle name="40% - Accent6 3 2 3 3 5" xfId="19598" xr:uid="{00000000-0005-0000-0000-0000C93D0000}"/>
    <cellStyle name="40% - Accent6 3 2 3 4" xfId="11904" xr:uid="{00000000-0005-0000-0000-0000CA3D0000}"/>
    <cellStyle name="40% - Accent6 3 2 3 4 2" xfId="11905" xr:uid="{00000000-0005-0000-0000-0000CB3D0000}"/>
    <cellStyle name="40% - Accent6 3 2 3 4 2 2" xfId="11906" xr:uid="{00000000-0005-0000-0000-0000CC3D0000}"/>
    <cellStyle name="40% - Accent6 3 2 3 4 2 3" xfId="22830" xr:uid="{00000000-0005-0000-0000-0000CD3D0000}"/>
    <cellStyle name="40% - Accent6 3 2 3 4 3" xfId="11907" xr:uid="{00000000-0005-0000-0000-0000CE3D0000}"/>
    <cellStyle name="40% - Accent6 3 2 3 4 4" xfId="20247" xr:uid="{00000000-0005-0000-0000-0000CF3D0000}"/>
    <cellStyle name="40% - Accent6 3 2 3 5" xfId="11908" xr:uid="{00000000-0005-0000-0000-0000D03D0000}"/>
    <cellStyle name="40% - Accent6 3 2 3 5 2" xfId="11909" xr:uid="{00000000-0005-0000-0000-0000D13D0000}"/>
    <cellStyle name="40% - Accent6 3 2 3 5 3" xfId="21540" xr:uid="{00000000-0005-0000-0000-0000D23D0000}"/>
    <cellStyle name="40% - Accent6 3 2 3 6" xfId="11910" xr:uid="{00000000-0005-0000-0000-0000D33D0000}"/>
    <cellStyle name="40% - Accent6 3 2 3 7" xfId="18946" xr:uid="{00000000-0005-0000-0000-0000D43D0000}"/>
    <cellStyle name="40% - Accent6 3 2 4" xfId="11911" xr:uid="{00000000-0005-0000-0000-0000D53D0000}"/>
    <cellStyle name="40% - Accent6 3 2 4 2" xfId="11912" xr:uid="{00000000-0005-0000-0000-0000D63D0000}"/>
    <cellStyle name="40% - Accent6 3 2 4 2 2" xfId="11913" xr:uid="{00000000-0005-0000-0000-0000D73D0000}"/>
    <cellStyle name="40% - Accent6 3 2 4 2 2 2" xfId="11914" xr:uid="{00000000-0005-0000-0000-0000D83D0000}"/>
    <cellStyle name="40% - Accent6 3 2 4 2 2 2 2" xfId="11915" xr:uid="{00000000-0005-0000-0000-0000D93D0000}"/>
    <cellStyle name="40% - Accent6 3 2 4 2 2 2 3" xfId="23636" xr:uid="{00000000-0005-0000-0000-0000DA3D0000}"/>
    <cellStyle name="40% - Accent6 3 2 4 2 2 3" xfId="11916" xr:uid="{00000000-0005-0000-0000-0000DB3D0000}"/>
    <cellStyle name="40% - Accent6 3 2 4 2 2 4" xfId="21053" xr:uid="{00000000-0005-0000-0000-0000DC3D0000}"/>
    <cellStyle name="40% - Accent6 3 2 4 2 3" xfId="11917" xr:uid="{00000000-0005-0000-0000-0000DD3D0000}"/>
    <cellStyle name="40% - Accent6 3 2 4 2 3 2" xfId="11918" xr:uid="{00000000-0005-0000-0000-0000DE3D0000}"/>
    <cellStyle name="40% - Accent6 3 2 4 2 3 3" xfId="22346" xr:uid="{00000000-0005-0000-0000-0000DF3D0000}"/>
    <cellStyle name="40% - Accent6 3 2 4 2 4" xfId="11919" xr:uid="{00000000-0005-0000-0000-0000E03D0000}"/>
    <cellStyle name="40% - Accent6 3 2 4 2 5" xfId="19759" xr:uid="{00000000-0005-0000-0000-0000E13D0000}"/>
    <cellStyle name="40% - Accent6 3 2 4 3" xfId="11920" xr:uid="{00000000-0005-0000-0000-0000E23D0000}"/>
    <cellStyle name="40% - Accent6 3 2 4 3 2" xfId="11921" xr:uid="{00000000-0005-0000-0000-0000E33D0000}"/>
    <cellStyle name="40% - Accent6 3 2 4 3 2 2" xfId="11922" xr:uid="{00000000-0005-0000-0000-0000E43D0000}"/>
    <cellStyle name="40% - Accent6 3 2 4 3 2 3" xfId="22991" xr:uid="{00000000-0005-0000-0000-0000E53D0000}"/>
    <cellStyle name="40% - Accent6 3 2 4 3 3" xfId="11923" xr:uid="{00000000-0005-0000-0000-0000E63D0000}"/>
    <cellStyle name="40% - Accent6 3 2 4 3 4" xfId="20408" xr:uid="{00000000-0005-0000-0000-0000E73D0000}"/>
    <cellStyle name="40% - Accent6 3 2 4 4" xfId="11924" xr:uid="{00000000-0005-0000-0000-0000E83D0000}"/>
    <cellStyle name="40% - Accent6 3 2 4 4 2" xfId="11925" xr:uid="{00000000-0005-0000-0000-0000E93D0000}"/>
    <cellStyle name="40% - Accent6 3 2 4 4 3" xfId="21701" xr:uid="{00000000-0005-0000-0000-0000EA3D0000}"/>
    <cellStyle name="40% - Accent6 3 2 4 5" xfId="11926" xr:uid="{00000000-0005-0000-0000-0000EB3D0000}"/>
    <cellStyle name="40% - Accent6 3 2 4 6" xfId="19111" xr:uid="{00000000-0005-0000-0000-0000EC3D0000}"/>
    <cellStyle name="40% - Accent6 3 2 5" xfId="11927" xr:uid="{00000000-0005-0000-0000-0000ED3D0000}"/>
    <cellStyle name="40% - Accent6 3 2 5 2" xfId="11928" xr:uid="{00000000-0005-0000-0000-0000EE3D0000}"/>
    <cellStyle name="40% - Accent6 3 2 5 2 2" xfId="11929" xr:uid="{00000000-0005-0000-0000-0000EF3D0000}"/>
    <cellStyle name="40% - Accent6 3 2 5 2 2 2" xfId="11930" xr:uid="{00000000-0005-0000-0000-0000F03D0000}"/>
    <cellStyle name="40% - Accent6 3 2 5 2 2 3" xfId="23313" xr:uid="{00000000-0005-0000-0000-0000F13D0000}"/>
    <cellStyle name="40% - Accent6 3 2 5 2 3" xfId="11931" xr:uid="{00000000-0005-0000-0000-0000F23D0000}"/>
    <cellStyle name="40% - Accent6 3 2 5 2 4" xfId="20730" xr:uid="{00000000-0005-0000-0000-0000F33D0000}"/>
    <cellStyle name="40% - Accent6 3 2 5 3" xfId="11932" xr:uid="{00000000-0005-0000-0000-0000F43D0000}"/>
    <cellStyle name="40% - Accent6 3 2 5 3 2" xfId="11933" xr:uid="{00000000-0005-0000-0000-0000F53D0000}"/>
    <cellStyle name="40% - Accent6 3 2 5 3 3" xfId="22023" xr:uid="{00000000-0005-0000-0000-0000F63D0000}"/>
    <cellStyle name="40% - Accent6 3 2 5 4" xfId="11934" xr:uid="{00000000-0005-0000-0000-0000F73D0000}"/>
    <cellStyle name="40% - Accent6 3 2 5 5" xfId="19437" xr:uid="{00000000-0005-0000-0000-0000F83D0000}"/>
    <cellStyle name="40% - Accent6 3 2 6" xfId="11935" xr:uid="{00000000-0005-0000-0000-0000F93D0000}"/>
    <cellStyle name="40% - Accent6 3 2 6 2" xfId="11936" xr:uid="{00000000-0005-0000-0000-0000FA3D0000}"/>
    <cellStyle name="40% - Accent6 3 2 6 2 2" xfId="11937" xr:uid="{00000000-0005-0000-0000-0000FB3D0000}"/>
    <cellStyle name="40% - Accent6 3 2 6 2 3" xfId="22668" xr:uid="{00000000-0005-0000-0000-0000FC3D0000}"/>
    <cellStyle name="40% - Accent6 3 2 6 3" xfId="11938" xr:uid="{00000000-0005-0000-0000-0000FD3D0000}"/>
    <cellStyle name="40% - Accent6 3 2 6 4" xfId="20085" xr:uid="{00000000-0005-0000-0000-0000FE3D0000}"/>
    <cellStyle name="40% - Accent6 3 2 7" xfId="11939" xr:uid="{00000000-0005-0000-0000-0000FF3D0000}"/>
    <cellStyle name="40% - Accent6 3 2 7 2" xfId="11940" xr:uid="{00000000-0005-0000-0000-0000003E0000}"/>
    <cellStyle name="40% - Accent6 3 2 7 3" xfId="21378" xr:uid="{00000000-0005-0000-0000-0000013E0000}"/>
    <cellStyle name="40% - Accent6 3 2 8" xfId="11941" xr:uid="{00000000-0005-0000-0000-0000023E0000}"/>
    <cellStyle name="40% - Accent6 3 2 9" xfId="18764" xr:uid="{00000000-0005-0000-0000-0000033E0000}"/>
    <cellStyle name="40% - Accent6 3 3" xfId="11942" xr:uid="{00000000-0005-0000-0000-0000043E0000}"/>
    <cellStyle name="40% - Accent6 3 3 2" xfId="11943" xr:uid="{00000000-0005-0000-0000-0000053E0000}"/>
    <cellStyle name="40% - Accent6 3 3 2 2" xfId="11944" xr:uid="{00000000-0005-0000-0000-0000063E0000}"/>
    <cellStyle name="40% - Accent6 3 3 2 2 2" xfId="11945" xr:uid="{00000000-0005-0000-0000-0000073E0000}"/>
    <cellStyle name="40% - Accent6 3 3 2 2 2 2" xfId="11946" xr:uid="{00000000-0005-0000-0000-0000083E0000}"/>
    <cellStyle name="40% - Accent6 3 3 2 2 2 2 2" xfId="11947" xr:uid="{00000000-0005-0000-0000-0000093E0000}"/>
    <cellStyle name="40% - Accent6 3 3 2 2 2 2 2 2" xfId="11948" xr:uid="{00000000-0005-0000-0000-00000A3E0000}"/>
    <cellStyle name="40% - Accent6 3 3 2 2 2 2 2 3" xfId="23837" xr:uid="{00000000-0005-0000-0000-00000B3E0000}"/>
    <cellStyle name="40% - Accent6 3 3 2 2 2 2 3" xfId="11949" xr:uid="{00000000-0005-0000-0000-00000C3E0000}"/>
    <cellStyle name="40% - Accent6 3 3 2 2 2 2 4" xfId="21254" xr:uid="{00000000-0005-0000-0000-00000D3E0000}"/>
    <cellStyle name="40% - Accent6 3 3 2 2 2 3" xfId="11950" xr:uid="{00000000-0005-0000-0000-00000E3E0000}"/>
    <cellStyle name="40% - Accent6 3 3 2 2 2 3 2" xfId="11951" xr:uid="{00000000-0005-0000-0000-00000F3E0000}"/>
    <cellStyle name="40% - Accent6 3 3 2 2 2 3 3" xfId="22547" xr:uid="{00000000-0005-0000-0000-0000103E0000}"/>
    <cellStyle name="40% - Accent6 3 3 2 2 2 4" xfId="11952" xr:uid="{00000000-0005-0000-0000-0000113E0000}"/>
    <cellStyle name="40% - Accent6 3 3 2 2 2 5" xfId="19960" xr:uid="{00000000-0005-0000-0000-0000123E0000}"/>
    <cellStyle name="40% - Accent6 3 3 2 2 3" xfId="11953" xr:uid="{00000000-0005-0000-0000-0000133E0000}"/>
    <cellStyle name="40% - Accent6 3 3 2 2 3 2" xfId="11954" xr:uid="{00000000-0005-0000-0000-0000143E0000}"/>
    <cellStyle name="40% - Accent6 3 3 2 2 3 2 2" xfId="11955" xr:uid="{00000000-0005-0000-0000-0000153E0000}"/>
    <cellStyle name="40% - Accent6 3 3 2 2 3 2 3" xfId="23192" xr:uid="{00000000-0005-0000-0000-0000163E0000}"/>
    <cellStyle name="40% - Accent6 3 3 2 2 3 3" xfId="11956" xr:uid="{00000000-0005-0000-0000-0000173E0000}"/>
    <cellStyle name="40% - Accent6 3 3 2 2 3 4" xfId="20609" xr:uid="{00000000-0005-0000-0000-0000183E0000}"/>
    <cellStyle name="40% - Accent6 3 3 2 2 4" xfId="11957" xr:uid="{00000000-0005-0000-0000-0000193E0000}"/>
    <cellStyle name="40% - Accent6 3 3 2 2 4 2" xfId="11958" xr:uid="{00000000-0005-0000-0000-00001A3E0000}"/>
    <cellStyle name="40% - Accent6 3 3 2 2 4 3" xfId="21902" xr:uid="{00000000-0005-0000-0000-00001B3E0000}"/>
    <cellStyle name="40% - Accent6 3 3 2 2 5" xfId="11959" xr:uid="{00000000-0005-0000-0000-00001C3E0000}"/>
    <cellStyle name="40% - Accent6 3 3 2 2 6" xfId="19312" xr:uid="{00000000-0005-0000-0000-00001D3E0000}"/>
    <cellStyle name="40% - Accent6 3 3 2 3" xfId="11960" xr:uid="{00000000-0005-0000-0000-00001E3E0000}"/>
    <cellStyle name="40% - Accent6 3 3 2 3 2" xfId="11961" xr:uid="{00000000-0005-0000-0000-00001F3E0000}"/>
    <cellStyle name="40% - Accent6 3 3 2 3 2 2" xfId="11962" xr:uid="{00000000-0005-0000-0000-0000203E0000}"/>
    <cellStyle name="40% - Accent6 3 3 2 3 2 2 2" xfId="11963" xr:uid="{00000000-0005-0000-0000-0000213E0000}"/>
    <cellStyle name="40% - Accent6 3 3 2 3 2 2 3" xfId="23515" xr:uid="{00000000-0005-0000-0000-0000223E0000}"/>
    <cellStyle name="40% - Accent6 3 3 2 3 2 3" xfId="11964" xr:uid="{00000000-0005-0000-0000-0000233E0000}"/>
    <cellStyle name="40% - Accent6 3 3 2 3 2 4" xfId="20932" xr:uid="{00000000-0005-0000-0000-0000243E0000}"/>
    <cellStyle name="40% - Accent6 3 3 2 3 3" xfId="11965" xr:uid="{00000000-0005-0000-0000-0000253E0000}"/>
    <cellStyle name="40% - Accent6 3 3 2 3 3 2" xfId="11966" xr:uid="{00000000-0005-0000-0000-0000263E0000}"/>
    <cellStyle name="40% - Accent6 3 3 2 3 3 3" xfId="22225" xr:uid="{00000000-0005-0000-0000-0000273E0000}"/>
    <cellStyle name="40% - Accent6 3 3 2 3 4" xfId="11967" xr:uid="{00000000-0005-0000-0000-0000283E0000}"/>
    <cellStyle name="40% - Accent6 3 3 2 3 5" xfId="19638" xr:uid="{00000000-0005-0000-0000-0000293E0000}"/>
    <cellStyle name="40% - Accent6 3 3 2 4" xfId="11968" xr:uid="{00000000-0005-0000-0000-00002A3E0000}"/>
    <cellStyle name="40% - Accent6 3 3 2 4 2" xfId="11969" xr:uid="{00000000-0005-0000-0000-00002B3E0000}"/>
    <cellStyle name="40% - Accent6 3 3 2 4 2 2" xfId="11970" xr:uid="{00000000-0005-0000-0000-00002C3E0000}"/>
    <cellStyle name="40% - Accent6 3 3 2 4 2 3" xfId="22870" xr:uid="{00000000-0005-0000-0000-00002D3E0000}"/>
    <cellStyle name="40% - Accent6 3 3 2 4 3" xfId="11971" xr:uid="{00000000-0005-0000-0000-00002E3E0000}"/>
    <cellStyle name="40% - Accent6 3 3 2 4 4" xfId="20287" xr:uid="{00000000-0005-0000-0000-00002F3E0000}"/>
    <cellStyle name="40% - Accent6 3 3 2 5" xfId="11972" xr:uid="{00000000-0005-0000-0000-0000303E0000}"/>
    <cellStyle name="40% - Accent6 3 3 2 5 2" xfId="11973" xr:uid="{00000000-0005-0000-0000-0000313E0000}"/>
    <cellStyle name="40% - Accent6 3 3 2 5 3" xfId="21580" xr:uid="{00000000-0005-0000-0000-0000323E0000}"/>
    <cellStyle name="40% - Accent6 3 3 2 6" xfId="11974" xr:uid="{00000000-0005-0000-0000-0000333E0000}"/>
    <cellStyle name="40% - Accent6 3 3 2 7" xfId="18986" xr:uid="{00000000-0005-0000-0000-0000343E0000}"/>
    <cellStyle name="40% - Accent6 3 3 3" xfId="11975" xr:uid="{00000000-0005-0000-0000-0000353E0000}"/>
    <cellStyle name="40% - Accent6 3 3 3 2" xfId="11976" xr:uid="{00000000-0005-0000-0000-0000363E0000}"/>
    <cellStyle name="40% - Accent6 3 3 3 2 2" xfId="11977" xr:uid="{00000000-0005-0000-0000-0000373E0000}"/>
    <cellStyle name="40% - Accent6 3 3 3 2 2 2" xfId="11978" xr:uid="{00000000-0005-0000-0000-0000383E0000}"/>
    <cellStyle name="40% - Accent6 3 3 3 2 2 2 2" xfId="11979" xr:uid="{00000000-0005-0000-0000-0000393E0000}"/>
    <cellStyle name="40% - Accent6 3 3 3 2 2 2 3" xfId="23676" xr:uid="{00000000-0005-0000-0000-00003A3E0000}"/>
    <cellStyle name="40% - Accent6 3 3 3 2 2 3" xfId="11980" xr:uid="{00000000-0005-0000-0000-00003B3E0000}"/>
    <cellStyle name="40% - Accent6 3 3 3 2 2 4" xfId="21093" xr:uid="{00000000-0005-0000-0000-00003C3E0000}"/>
    <cellStyle name="40% - Accent6 3 3 3 2 3" xfId="11981" xr:uid="{00000000-0005-0000-0000-00003D3E0000}"/>
    <cellStyle name="40% - Accent6 3 3 3 2 3 2" xfId="11982" xr:uid="{00000000-0005-0000-0000-00003E3E0000}"/>
    <cellStyle name="40% - Accent6 3 3 3 2 3 3" xfId="22386" xr:uid="{00000000-0005-0000-0000-00003F3E0000}"/>
    <cellStyle name="40% - Accent6 3 3 3 2 4" xfId="11983" xr:uid="{00000000-0005-0000-0000-0000403E0000}"/>
    <cellStyle name="40% - Accent6 3 3 3 2 5" xfId="19799" xr:uid="{00000000-0005-0000-0000-0000413E0000}"/>
    <cellStyle name="40% - Accent6 3 3 3 3" xfId="11984" xr:uid="{00000000-0005-0000-0000-0000423E0000}"/>
    <cellStyle name="40% - Accent6 3 3 3 3 2" xfId="11985" xr:uid="{00000000-0005-0000-0000-0000433E0000}"/>
    <cellStyle name="40% - Accent6 3 3 3 3 2 2" xfId="11986" xr:uid="{00000000-0005-0000-0000-0000443E0000}"/>
    <cellStyle name="40% - Accent6 3 3 3 3 2 3" xfId="23031" xr:uid="{00000000-0005-0000-0000-0000453E0000}"/>
    <cellStyle name="40% - Accent6 3 3 3 3 3" xfId="11987" xr:uid="{00000000-0005-0000-0000-0000463E0000}"/>
    <cellStyle name="40% - Accent6 3 3 3 3 4" xfId="20448" xr:uid="{00000000-0005-0000-0000-0000473E0000}"/>
    <cellStyle name="40% - Accent6 3 3 3 4" xfId="11988" xr:uid="{00000000-0005-0000-0000-0000483E0000}"/>
    <cellStyle name="40% - Accent6 3 3 3 4 2" xfId="11989" xr:uid="{00000000-0005-0000-0000-0000493E0000}"/>
    <cellStyle name="40% - Accent6 3 3 3 4 3" xfId="21741" xr:uid="{00000000-0005-0000-0000-00004A3E0000}"/>
    <cellStyle name="40% - Accent6 3 3 3 5" xfId="11990" xr:uid="{00000000-0005-0000-0000-00004B3E0000}"/>
    <cellStyle name="40% - Accent6 3 3 3 6" xfId="19151" xr:uid="{00000000-0005-0000-0000-00004C3E0000}"/>
    <cellStyle name="40% - Accent6 3 3 4" xfId="11991" xr:uid="{00000000-0005-0000-0000-00004D3E0000}"/>
    <cellStyle name="40% - Accent6 3 3 4 2" xfId="11992" xr:uid="{00000000-0005-0000-0000-00004E3E0000}"/>
    <cellStyle name="40% - Accent6 3 3 4 2 2" xfId="11993" xr:uid="{00000000-0005-0000-0000-00004F3E0000}"/>
    <cellStyle name="40% - Accent6 3 3 4 2 2 2" xfId="11994" xr:uid="{00000000-0005-0000-0000-0000503E0000}"/>
    <cellStyle name="40% - Accent6 3 3 4 2 2 3" xfId="23354" xr:uid="{00000000-0005-0000-0000-0000513E0000}"/>
    <cellStyle name="40% - Accent6 3 3 4 2 3" xfId="11995" xr:uid="{00000000-0005-0000-0000-0000523E0000}"/>
    <cellStyle name="40% - Accent6 3 3 4 2 4" xfId="20771" xr:uid="{00000000-0005-0000-0000-0000533E0000}"/>
    <cellStyle name="40% - Accent6 3 3 4 3" xfId="11996" xr:uid="{00000000-0005-0000-0000-0000543E0000}"/>
    <cellStyle name="40% - Accent6 3 3 4 3 2" xfId="11997" xr:uid="{00000000-0005-0000-0000-0000553E0000}"/>
    <cellStyle name="40% - Accent6 3 3 4 3 3" xfId="22064" xr:uid="{00000000-0005-0000-0000-0000563E0000}"/>
    <cellStyle name="40% - Accent6 3 3 4 4" xfId="11998" xr:uid="{00000000-0005-0000-0000-0000573E0000}"/>
    <cellStyle name="40% - Accent6 3 3 4 5" xfId="19477" xr:uid="{00000000-0005-0000-0000-0000583E0000}"/>
    <cellStyle name="40% - Accent6 3 3 5" xfId="11999" xr:uid="{00000000-0005-0000-0000-0000593E0000}"/>
    <cellStyle name="40% - Accent6 3 3 5 2" xfId="12000" xr:uid="{00000000-0005-0000-0000-00005A3E0000}"/>
    <cellStyle name="40% - Accent6 3 3 5 2 2" xfId="12001" xr:uid="{00000000-0005-0000-0000-00005B3E0000}"/>
    <cellStyle name="40% - Accent6 3 3 5 2 3" xfId="22709" xr:uid="{00000000-0005-0000-0000-00005C3E0000}"/>
    <cellStyle name="40% - Accent6 3 3 5 3" xfId="12002" xr:uid="{00000000-0005-0000-0000-00005D3E0000}"/>
    <cellStyle name="40% - Accent6 3 3 5 4" xfId="20126" xr:uid="{00000000-0005-0000-0000-00005E3E0000}"/>
    <cellStyle name="40% - Accent6 3 3 6" xfId="12003" xr:uid="{00000000-0005-0000-0000-00005F3E0000}"/>
    <cellStyle name="40% - Accent6 3 3 6 2" xfId="12004" xr:uid="{00000000-0005-0000-0000-0000603E0000}"/>
    <cellStyle name="40% - Accent6 3 3 6 3" xfId="21419" xr:uid="{00000000-0005-0000-0000-0000613E0000}"/>
    <cellStyle name="40% - Accent6 3 3 7" xfId="12005" xr:uid="{00000000-0005-0000-0000-0000623E0000}"/>
    <cellStyle name="40% - Accent6 3 3 8" xfId="18819" xr:uid="{00000000-0005-0000-0000-0000633E0000}"/>
    <cellStyle name="40% - Accent6 3 4" xfId="12006" xr:uid="{00000000-0005-0000-0000-0000643E0000}"/>
    <cellStyle name="40% - Accent6 3 4 2" xfId="12007" xr:uid="{00000000-0005-0000-0000-0000653E0000}"/>
    <cellStyle name="40% - Accent6 3 4 2 2" xfId="12008" xr:uid="{00000000-0005-0000-0000-0000663E0000}"/>
    <cellStyle name="40% - Accent6 3 4 2 2 2" xfId="12009" xr:uid="{00000000-0005-0000-0000-0000673E0000}"/>
    <cellStyle name="40% - Accent6 3 4 2 2 2 2" xfId="12010" xr:uid="{00000000-0005-0000-0000-0000683E0000}"/>
    <cellStyle name="40% - Accent6 3 4 2 2 2 2 2" xfId="12011" xr:uid="{00000000-0005-0000-0000-0000693E0000}"/>
    <cellStyle name="40% - Accent6 3 4 2 2 2 2 3" xfId="23757" xr:uid="{00000000-0005-0000-0000-00006A3E0000}"/>
    <cellStyle name="40% - Accent6 3 4 2 2 2 3" xfId="12012" xr:uid="{00000000-0005-0000-0000-00006B3E0000}"/>
    <cellStyle name="40% - Accent6 3 4 2 2 2 4" xfId="21174" xr:uid="{00000000-0005-0000-0000-00006C3E0000}"/>
    <cellStyle name="40% - Accent6 3 4 2 2 3" xfId="12013" xr:uid="{00000000-0005-0000-0000-00006D3E0000}"/>
    <cellStyle name="40% - Accent6 3 4 2 2 3 2" xfId="12014" xr:uid="{00000000-0005-0000-0000-00006E3E0000}"/>
    <cellStyle name="40% - Accent6 3 4 2 2 3 3" xfId="22467" xr:uid="{00000000-0005-0000-0000-00006F3E0000}"/>
    <cellStyle name="40% - Accent6 3 4 2 2 4" xfId="12015" xr:uid="{00000000-0005-0000-0000-0000703E0000}"/>
    <cellStyle name="40% - Accent6 3 4 2 2 5" xfId="19880" xr:uid="{00000000-0005-0000-0000-0000713E0000}"/>
    <cellStyle name="40% - Accent6 3 4 2 3" xfId="12016" xr:uid="{00000000-0005-0000-0000-0000723E0000}"/>
    <cellStyle name="40% - Accent6 3 4 2 3 2" xfId="12017" xr:uid="{00000000-0005-0000-0000-0000733E0000}"/>
    <cellStyle name="40% - Accent6 3 4 2 3 2 2" xfId="12018" xr:uid="{00000000-0005-0000-0000-0000743E0000}"/>
    <cellStyle name="40% - Accent6 3 4 2 3 2 3" xfId="23112" xr:uid="{00000000-0005-0000-0000-0000753E0000}"/>
    <cellStyle name="40% - Accent6 3 4 2 3 3" xfId="12019" xr:uid="{00000000-0005-0000-0000-0000763E0000}"/>
    <cellStyle name="40% - Accent6 3 4 2 3 4" xfId="20529" xr:uid="{00000000-0005-0000-0000-0000773E0000}"/>
    <cellStyle name="40% - Accent6 3 4 2 4" xfId="12020" xr:uid="{00000000-0005-0000-0000-0000783E0000}"/>
    <cellStyle name="40% - Accent6 3 4 2 4 2" xfId="12021" xr:uid="{00000000-0005-0000-0000-0000793E0000}"/>
    <cellStyle name="40% - Accent6 3 4 2 4 3" xfId="21822" xr:uid="{00000000-0005-0000-0000-00007A3E0000}"/>
    <cellStyle name="40% - Accent6 3 4 2 5" xfId="12022" xr:uid="{00000000-0005-0000-0000-00007B3E0000}"/>
    <cellStyle name="40% - Accent6 3 4 2 6" xfId="19232" xr:uid="{00000000-0005-0000-0000-00007C3E0000}"/>
    <cellStyle name="40% - Accent6 3 4 3" xfId="12023" xr:uid="{00000000-0005-0000-0000-00007D3E0000}"/>
    <cellStyle name="40% - Accent6 3 4 3 2" xfId="12024" xr:uid="{00000000-0005-0000-0000-00007E3E0000}"/>
    <cellStyle name="40% - Accent6 3 4 3 2 2" xfId="12025" xr:uid="{00000000-0005-0000-0000-00007F3E0000}"/>
    <cellStyle name="40% - Accent6 3 4 3 2 2 2" xfId="12026" xr:uid="{00000000-0005-0000-0000-0000803E0000}"/>
    <cellStyle name="40% - Accent6 3 4 3 2 2 3" xfId="23435" xr:uid="{00000000-0005-0000-0000-0000813E0000}"/>
    <cellStyle name="40% - Accent6 3 4 3 2 3" xfId="12027" xr:uid="{00000000-0005-0000-0000-0000823E0000}"/>
    <cellStyle name="40% - Accent6 3 4 3 2 4" xfId="20852" xr:uid="{00000000-0005-0000-0000-0000833E0000}"/>
    <cellStyle name="40% - Accent6 3 4 3 3" xfId="12028" xr:uid="{00000000-0005-0000-0000-0000843E0000}"/>
    <cellStyle name="40% - Accent6 3 4 3 3 2" xfId="12029" xr:uid="{00000000-0005-0000-0000-0000853E0000}"/>
    <cellStyle name="40% - Accent6 3 4 3 3 3" xfId="22145" xr:uid="{00000000-0005-0000-0000-0000863E0000}"/>
    <cellStyle name="40% - Accent6 3 4 3 4" xfId="12030" xr:uid="{00000000-0005-0000-0000-0000873E0000}"/>
    <cellStyle name="40% - Accent6 3 4 3 5" xfId="19558" xr:uid="{00000000-0005-0000-0000-0000883E0000}"/>
    <cellStyle name="40% - Accent6 3 4 4" xfId="12031" xr:uid="{00000000-0005-0000-0000-0000893E0000}"/>
    <cellStyle name="40% - Accent6 3 4 4 2" xfId="12032" xr:uid="{00000000-0005-0000-0000-00008A3E0000}"/>
    <cellStyle name="40% - Accent6 3 4 4 2 2" xfId="12033" xr:uid="{00000000-0005-0000-0000-00008B3E0000}"/>
    <cellStyle name="40% - Accent6 3 4 4 2 3" xfId="22790" xr:uid="{00000000-0005-0000-0000-00008C3E0000}"/>
    <cellStyle name="40% - Accent6 3 4 4 3" xfId="12034" xr:uid="{00000000-0005-0000-0000-00008D3E0000}"/>
    <cellStyle name="40% - Accent6 3 4 4 4" xfId="20207" xr:uid="{00000000-0005-0000-0000-00008E3E0000}"/>
    <cellStyle name="40% - Accent6 3 4 5" xfId="12035" xr:uid="{00000000-0005-0000-0000-00008F3E0000}"/>
    <cellStyle name="40% - Accent6 3 4 5 2" xfId="12036" xr:uid="{00000000-0005-0000-0000-0000903E0000}"/>
    <cellStyle name="40% - Accent6 3 4 5 3" xfId="21500" xr:uid="{00000000-0005-0000-0000-0000913E0000}"/>
    <cellStyle name="40% - Accent6 3 4 6" xfId="12037" xr:uid="{00000000-0005-0000-0000-0000923E0000}"/>
    <cellStyle name="40% - Accent6 3 4 7" xfId="18906" xr:uid="{00000000-0005-0000-0000-0000933E0000}"/>
    <cellStyle name="40% - Accent6 3 5" xfId="12038" xr:uid="{00000000-0005-0000-0000-0000943E0000}"/>
    <cellStyle name="40% - Accent6 3 5 2" xfId="12039" xr:uid="{00000000-0005-0000-0000-0000953E0000}"/>
    <cellStyle name="40% - Accent6 3 5 2 2" xfId="12040" xr:uid="{00000000-0005-0000-0000-0000963E0000}"/>
    <cellStyle name="40% - Accent6 3 5 2 2 2" xfId="12041" xr:uid="{00000000-0005-0000-0000-0000973E0000}"/>
    <cellStyle name="40% - Accent6 3 5 2 2 2 2" xfId="12042" xr:uid="{00000000-0005-0000-0000-0000983E0000}"/>
    <cellStyle name="40% - Accent6 3 5 2 2 2 3" xfId="23596" xr:uid="{00000000-0005-0000-0000-0000993E0000}"/>
    <cellStyle name="40% - Accent6 3 5 2 2 3" xfId="12043" xr:uid="{00000000-0005-0000-0000-00009A3E0000}"/>
    <cellStyle name="40% - Accent6 3 5 2 2 4" xfId="21013" xr:uid="{00000000-0005-0000-0000-00009B3E0000}"/>
    <cellStyle name="40% - Accent6 3 5 2 3" xfId="12044" xr:uid="{00000000-0005-0000-0000-00009C3E0000}"/>
    <cellStyle name="40% - Accent6 3 5 2 3 2" xfId="12045" xr:uid="{00000000-0005-0000-0000-00009D3E0000}"/>
    <cellStyle name="40% - Accent6 3 5 2 3 3" xfId="22306" xr:uid="{00000000-0005-0000-0000-00009E3E0000}"/>
    <cellStyle name="40% - Accent6 3 5 2 4" xfId="12046" xr:uid="{00000000-0005-0000-0000-00009F3E0000}"/>
    <cellStyle name="40% - Accent6 3 5 2 5" xfId="19719" xr:uid="{00000000-0005-0000-0000-0000A03E0000}"/>
    <cellStyle name="40% - Accent6 3 5 3" xfId="12047" xr:uid="{00000000-0005-0000-0000-0000A13E0000}"/>
    <cellStyle name="40% - Accent6 3 5 3 2" xfId="12048" xr:uid="{00000000-0005-0000-0000-0000A23E0000}"/>
    <cellStyle name="40% - Accent6 3 5 3 2 2" xfId="12049" xr:uid="{00000000-0005-0000-0000-0000A33E0000}"/>
    <cellStyle name="40% - Accent6 3 5 3 2 3" xfId="22951" xr:uid="{00000000-0005-0000-0000-0000A43E0000}"/>
    <cellStyle name="40% - Accent6 3 5 3 3" xfId="12050" xr:uid="{00000000-0005-0000-0000-0000A53E0000}"/>
    <cellStyle name="40% - Accent6 3 5 3 4" xfId="20368" xr:uid="{00000000-0005-0000-0000-0000A63E0000}"/>
    <cellStyle name="40% - Accent6 3 5 4" xfId="12051" xr:uid="{00000000-0005-0000-0000-0000A73E0000}"/>
    <cellStyle name="40% - Accent6 3 5 4 2" xfId="12052" xr:uid="{00000000-0005-0000-0000-0000A83E0000}"/>
    <cellStyle name="40% - Accent6 3 5 4 3" xfId="21661" xr:uid="{00000000-0005-0000-0000-0000A93E0000}"/>
    <cellStyle name="40% - Accent6 3 5 5" xfId="12053" xr:uid="{00000000-0005-0000-0000-0000AA3E0000}"/>
    <cellStyle name="40% - Accent6 3 5 6" xfId="19071" xr:uid="{00000000-0005-0000-0000-0000AB3E0000}"/>
    <cellStyle name="40% - Accent6 3 6" xfId="12054" xr:uid="{00000000-0005-0000-0000-0000AC3E0000}"/>
    <cellStyle name="40% - Accent6 3 6 2" xfId="12055" xr:uid="{00000000-0005-0000-0000-0000AD3E0000}"/>
    <cellStyle name="40% - Accent6 3 6 2 2" xfId="12056" xr:uid="{00000000-0005-0000-0000-0000AE3E0000}"/>
    <cellStyle name="40% - Accent6 3 6 2 2 2" xfId="12057" xr:uid="{00000000-0005-0000-0000-0000AF3E0000}"/>
    <cellStyle name="40% - Accent6 3 6 2 2 3" xfId="23273" xr:uid="{00000000-0005-0000-0000-0000B03E0000}"/>
    <cellStyle name="40% - Accent6 3 6 2 3" xfId="12058" xr:uid="{00000000-0005-0000-0000-0000B13E0000}"/>
    <cellStyle name="40% - Accent6 3 6 2 4" xfId="20690" xr:uid="{00000000-0005-0000-0000-0000B23E0000}"/>
    <cellStyle name="40% - Accent6 3 6 3" xfId="12059" xr:uid="{00000000-0005-0000-0000-0000B33E0000}"/>
    <cellStyle name="40% - Accent6 3 6 3 2" xfId="12060" xr:uid="{00000000-0005-0000-0000-0000B43E0000}"/>
    <cellStyle name="40% - Accent6 3 6 3 3" xfId="21983" xr:uid="{00000000-0005-0000-0000-0000B53E0000}"/>
    <cellStyle name="40% - Accent6 3 6 4" xfId="12061" xr:uid="{00000000-0005-0000-0000-0000B63E0000}"/>
    <cellStyle name="40% - Accent6 3 6 5" xfId="19397" xr:uid="{00000000-0005-0000-0000-0000B73E0000}"/>
    <cellStyle name="40% - Accent6 3 7" xfId="12062" xr:uid="{00000000-0005-0000-0000-0000B83E0000}"/>
    <cellStyle name="40% - Accent6 3 7 2" xfId="12063" xr:uid="{00000000-0005-0000-0000-0000B93E0000}"/>
    <cellStyle name="40% - Accent6 3 7 2 2" xfId="12064" xr:uid="{00000000-0005-0000-0000-0000BA3E0000}"/>
    <cellStyle name="40% - Accent6 3 7 2 3" xfId="22628" xr:uid="{00000000-0005-0000-0000-0000BB3E0000}"/>
    <cellStyle name="40% - Accent6 3 7 3" xfId="12065" xr:uid="{00000000-0005-0000-0000-0000BC3E0000}"/>
    <cellStyle name="40% - Accent6 3 7 4" xfId="20045" xr:uid="{00000000-0005-0000-0000-0000BD3E0000}"/>
    <cellStyle name="40% - Accent6 3 8" xfId="12066" xr:uid="{00000000-0005-0000-0000-0000BE3E0000}"/>
    <cellStyle name="40% - Accent6 3 8 2" xfId="12067" xr:uid="{00000000-0005-0000-0000-0000BF3E0000}"/>
    <cellStyle name="40% - Accent6 3 8 3" xfId="21338" xr:uid="{00000000-0005-0000-0000-0000C03E0000}"/>
    <cellStyle name="40% - Accent6 3 9" xfId="12068" xr:uid="{00000000-0005-0000-0000-0000C13E0000}"/>
    <cellStyle name="40% - Accent6 4" xfId="12069" xr:uid="{00000000-0005-0000-0000-0000C23E0000}"/>
    <cellStyle name="40% - Accent6 4 2" xfId="12070" xr:uid="{00000000-0005-0000-0000-0000C33E0000}"/>
    <cellStyle name="40% - Accent6 4 2 2" xfId="12071" xr:uid="{00000000-0005-0000-0000-0000C43E0000}"/>
    <cellStyle name="40% - Accent6 4 2 2 2" xfId="12072" xr:uid="{00000000-0005-0000-0000-0000C53E0000}"/>
    <cellStyle name="40% - Accent6 4 2 2 2 2" xfId="12073" xr:uid="{00000000-0005-0000-0000-0000C63E0000}"/>
    <cellStyle name="40% - Accent6 4 2 2 2 2 2" xfId="12074" xr:uid="{00000000-0005-0000-0000-0000C73E0000}"/>
    <cellStyle name="40% - Accent6 4 2 2 2 2 2 2" xfId="12075" xr:uid="{00000000-0005-0000-0000-0000C83E0000}"/>
    <cellStyle name="40% - Accent6 4 2 2 2 2 2 2 2" xfId="12076" xr:uid="{00000000-0005-0000-0000-0000C93E0000}"/>
    <cellStyle name="40% - Accent6 4 2 2 2 2 2 2 3" xfId="23857" xr:uid="{00000000-0005-0000-0000-0000CA3E0000}"/>
    <cellStyle name="40% - Accent6 4 2 2 2 2 2 3" xfId="12077" xr:uid="{00000000-0005-0000-0000-0000CB3E0000}"/>
    <cellStyle name="40% - Accent6 4 2 2 2 2 2 4" xfId="21274" xr:uid="{00000000-0005-0000-0000-0000CC3E0000}"/>
    <cellStyle name="40% - Accent6 4 2 2 2 2 3" xfId="12078" xr:uid="{00000000-0005-0000-0000-0000CD3E0000}"/>
    <cellStyle name="40% - Accent6 4 2 2 2 2 3 2" xfId="12079" xr:uid="{00000000-0005-0000-0000-0000CE3E0000}"/>
    <cellStyle name="40% - Accent6 4 2 2 2 2 3 3" xfId="22567" xr:uid="{00000000-0005-0000-0000-0000CF3E0000}"/>
    <cellStyle name="40% - Accent6 4 2 2 2 2 4" xfId="12080" xr:uid="{00000000-0005-0000-0000-0000D03E0000}"/>
    <cellStyle name="40% - Accent6 4 2 2 2 2 5" xfId="19980" xr:uid="{00000000-0005-0000-0000-0000D13E0000}"/>
    <cellStyle name="40% - Accent6 4 2 2 2 3" xfId="12081" xr:uid="{00000000-0005-0000-0000-0000D23E0000}"/>
    <cellStyle name="40% - Accent6 4 2 2 2 3 2" xfId="12082" xr:uid="{00000000-0005-0000-0000-0000D33E0000}"/>
    <cellStyle name="40% - Accent6 4 2 2 2 3 2 2" xfId="12083" xr:uid="{00000000-0005-0000-0000-0000D43E0000}"/>
    <cellStyle name="40% - Accent6 4 2 2 2 3 2 3" xfId="23212" xr:uid="{00000000-0005-0000-0000-0000D53E0000}"/>
    <cellStyle name="40% - Accent6 4 2 2 2 3 3" xfId="12084" xr:uid="{00000000-0005-0000-0000-0000D63E0000}"/>
    <cellStyle name="40% - Accent6 4 2 2 2 3 4" xfId="20629" xr:uid="{00000000-0005-0000-0000-0000D73E0000}"/>
    <cellStyle name="40% - Accent6 4 2 2 2 4" xfId="12085" xr:uid="{00000000-0005-0000-0000-0000D83E0000}"/>
    <cellStyle name="40% - Accent6 4 2 2 2 4 2" xfId="12086" xr:uid="{00000000-0005-0000-0000-0000D93E0000}"/>
    <cellStyle name="40% - Accent6 4 2 2 2 4 3" xfId="21922" xr:uid="{00000000-0005-0000-0000-0000DA3E0000}"/>
    <cellStyle name="40% - Accent6 4 2 2 2 5" xfId="12087" xr:uid="{00000000-0005-0000-0000-0000DB3E0000}"/>
    <cellStyle name="40% - Accent6 4 2 2 2 6" xfId="19332" xr:uid="{00000000-0005-0000-0000-0000DC3E0000}"/>
    <cellStyle name="40% - Accent6 4 2 2 3" xfId="12088" xr:uid="{00000000-0005-0000-0000-0000DD3E0000}"/>
    <cellStyle name="40% - Accent6 4 2 2 3 2" xfId="12089" xr:uid="{00000000-0005-0000-0000-0000DE3E0000}"/>
    <cellStyle name="40% - Accent6 4 2 2 3 2 2" xfId="12090" xr:uid="{00000000-0005-0000-0000-0000DF3E0000}"/>
    <cellStyle name="40% - Accent6 4 2 2 3 2 2 2" xfId="12091" xr:uid="{00000000-0005-0000-0000-0000E03E0000}"/>
    <cellStyle name="40% - Accent6 4 2 2 3 2 2 3" xfId="23535" xr:uid="{00000000-0005-0000-0000-0000E13E0000}"/>
    <cellStyle name="40% - Accent6 4 2 2 3 2 3" xfId="12092" xr:uid="{00000000-0005-0000-0000-0000E23E0000}"/>
    <cellStyle name="40% - Accent6 4 2 2 3 2 4" xfId="20952" xr:uid="{00000000-0005-0000-0000-0000E33E0000}"/>
    <cellStyle name="40% - Accent6 4 2 2 3 3" xfId="12093" xr:uid="{00000000-0005-0000-0000-0000E43E0000}"/>
    <cellStyle name="40% - Accent6 4 2 2 3 3 2" xfId="12094" xr:uid="{00000000-0005-0000-0000-0000E53E0000}"/>
    <cellStyle name="40% - Accent6 4 2 2 3 3 3" xfId="22245" xr:uid="{00000000-0005-0000-0000-0000E63E0000}"/>
    <cellStyle name="40% - Accent6 4 2 2 3 4" xfId="12095" xr:uid="{00000000-0005-0000-0000-0000E73E0000}"/>
    <cellStyle name="40% - Accent6 4 2 2 3 5" xfId="19658" xr:uid="{00000000-0005-0000-0000-0000E83E0000}"/>
    <cellStyle name="40% - Accent6 4 2 2 4" xfId="12096" xr:uid="{00000000-0005-0000-0000-0000E93E0000}"/>
    <cellStyle name="40% - Accent6 4 2 2 4 2" xfId="12097" xr:uid="{00000000-0005-0000-0000-0000EA3E0000}"/>
    <cellStyle name="40% - Accent6 4 2 2 4 2 2" xfId="12098" xr:uid="{00000000-0005-0000-0000-0000EB3E0000}"/>
    <cellStyle name="40% - Accent6 4 2 2 4 2 3" xfId="22890" xr:uid="{00000000-0005-0000-0000-0000EC3E0000}"/>
    <cellStyle name="40% - Accent6 4 2 2 4 3" xfId="12099" xr:uid="{00000000-0005-0000-0000-0000ED3E0000}"/>
    <cellStyle name="40% - Accent6 4 2 2 4 4" xfId="20307" xr:uid="{00000000-0005-0000-0000-0000EE3E0000}"/>
    <cellStyle name="40% - Accent6 4 2 2 5" xfId="12100" xr:uid="{00000000-0005-0000-0000-0000EF3E0000}"/>
    <cellStyle name="40% - Accent6 4 2 2 5 2" xfId="12101" xr:uid="{00000000-0005-0000-0000-0000F03E0000}"/>
    <cellStyle name="40% - Accent6 4 2 2 5 3" xfId="21600" xr:uid="{00000000-0005-0000-0000-0000F13E0000}"/>
    <cellStyle name="40% - Accent6 4 2 2 6" xfId="12102" xr:uid="{00000000-0005-0000-0000-0000F23E0000}"/>
    <cellStyle name="40% - Accent6 4 2 2 7" xfId="19006" xr:uid="{00000000-0005-0000-0000-0000F33E0000}"/>
    <cellStyle name="40% - Accent6 4 2 3" xfId="12103" xr:uid="{00000000-0005-0000-0000-0000F43E0000}"/>
    <cellStyle name="40% - Accent6 4 2 3 2" xfId="12104" xr:uid="{00000000-0005-0000-0000-0000F53E0000}"/>
    <cellStyle name="40% - Accent6 4 2 3 2 2" xfId="12105" xr:uid="{00000000-0005-0000-0000-0000F63E0000}"/>
    <cellStyle name="40% - Accent6 4 2 3 2 2 2" xfId="12106" xr:uid="{00000000-0005-0000-0000-0000F73E0000}"/>
    <cellStyle name="40% - Accent6 4 2 3 2 2 2 2" xfId="12107" xr:uid="{00000000-0005-0000-0000-0000F83E0000}"/>
    <cellStyle name="40% - Accent6 4 2 3 2 2 2 3" xfId="23696" xr:uid="{00000000-0005-0000-0000-0000F93E0000}"/>
    <cellStyle name="40% - Accent6 4 2 3 2 2 3" xfId="12108" xr:uid="{00000000-0005-0000-0000-0000FA3E0000}"/>
    <cellStyle name="40% - Accent6 4 2 3 2 2 4" xfId="21113" xr:uid="{00000000-0005-0000-0000-0000FB3E0000}"/>
    <cellStyle name="40% - Accent6 4 2 3 2 3" xfId="12109" xr:uid="{00000000-0005-0000-0000-0000FC3E0000}"/>
    <cellStyle name="40% - Accent6 4 2 3 2 3 2" xfId="12110" xr:uid="{00000000-0005-0000-0000-0000FD3E0000}"/>
    <cellStyle name="40% - Accent6 4 2 3 2 3 3" xfId="22406" xr:uid="{00000000-0005-0000-0000-0000FE3E0000}"/>
    <cellStyle name="40% - Accent6 4 2 3 2 4" xfId="12111" xr:uid="{00000000-0005-0000-0000-0000FF3E0000}"/>
    <cellStyle name="40% - Accent6 4 2 3 2 5" xfId="19819" xr:uid="{00000000-0005-0000-0000-0000003F0000}"/>
    <cellStyle name="40% - Accent6 4 2 3 3" xfId="12112" xr:uid="{00000000-0005-0000-0000-0000013F0000}"/>
    <cellStyle name="40% - Accent6 4 2 3 3 2" xfId="12113" xr:uid="{00000000-0005-0000-0000-0000023F0000}"/>
    <cellStyle name="40% - Accent6 4 2 3 3 2 2" xfId="12114" xr:uid="{00000000-0005-0000-0000-0000033F0000}"/>
    <cellStyle name="40% - Accent6 4 2 3 3 2 3" xfId="23051" xr:uid="{00000000-0005-0000-0000-0000043F0000}"/>
    <cellStyle name="40% - Accent6 4 2 3 3 3" xfId="12115" xr:uid="{00000000-0005-0000-0000-0000053F0000}"/>
    <cellStyle name="40% - Accent6 4 2 3 3 4" xfId="20468" xr:uid="{00000000-0005-0000-0000-0000063F0000}"/>
    <cellStyle name="40% - Accent6 4 2 3 4" xfId="12116" xr:uid="{00000000-0005-0000-0000-0000073F0000}"/>
    <cellStyle name="40% - Accent6 4 2 3 4 2" xfId="12117" xr:uid="{00000000-0005-0000-0000-0000083F0000}"/>
    <cellStyle name="40% - Accent6 4 2 3 4 3" xfId="21761" xr:uid="{00000000-0005-0000-0000-0000093F0000}"/>
    <cellStyle name="40% - Accent6 4 2 3 5" xfId="12118" xr:uid="{00000000-0005-0000-0000-00000A3F0000}"/>
    <cellStyle name="40% - Accent6 4 2 3 6" xfId="19171" xr:uid="{00000000-0005-0000-0000-00000B3F0000}"/>
    <cellStyle name="40% - Accent6 4 2 4" xfId="12119" xr:uid="{00000000-0005-0000-0000-00000C3F0000}"/>
    <cellStyle name="40% - Accent6 4 2 4 2" xfId="12120" xr:uid="{00000000-0005-0000-0000-00000D3F0000}"/>
    <cellStyle name="40% - Accent6 4 2 4 2 2" xfId="12121" xr:uid="{00000000-0005-0000-0000-00000E3F0000}"/>
    <cellStyle name="40% - Accent6 4 2 4 2 2 2" xfId="12122" xr:uid="{00000000-0005-0000-0000-00000F3F0000}"/>
    <cellStyle name="40% - Accent6 4 2 4 2 2 3" xfId="23374" xr:uid="{00000000-0005-0000-0000-0000103F0000}"/>
    <cellStyle name="40% - Accent6 4 2 4 2 3" xfId="12123" xr:uid="{00000000-0005-0000-0000-0000113F0000}"/>
    <cellStyle name="40% - Accent6 4 2 4 2 4" xfId="20791" xr:uid="{00000000-0005-0000-0000-0000123F0000}"/>
    <cellStyle name="40% - Accent6 4 2 4 3" xfId="12124" xr:uid="{00000000-0005-0000-0000-0000133F0000}"/>
    <cellStyle name="40% - Accent6 4 2 4 3 2" xfId="12125" xr:uid="{00000000-0005-0000-0000-0000143F0000}"/>
    <cellStyle name="40% - Accent6 4 2 4 3 3" xfId="22084" xr:uid="{00000000-0005-0000-0000-0000153F0000}"/>
    <cellStyle name="40% - Accent6 4 2 4 4" xfId="12126" xr:uid="{00000000-0005-0000-0000-0000163F0000}"/>
    <cellStyle name="40% - Accent6 4 2 4 5" xfId="19497" xr:uid="{00000000-0005-0000-0000-0000173F0000}"/>
    <cellStyle name="40% - Accent6 4 2 5" xfId="12127" xr:uid="{00000000-0005-0000-0000-0000183F0000}"/>
    <cellStyle name="40% - Accent6 4 2 5 2" xfId="12128" xr:uid="{00000000-0005-0000-0000-0000193F0000}"/>
    <cellStyle name="40% - Accent6 4 2 5 2 2" xfId="12129" xr:uid="{00000000-0005-0000-0000-00001A3F0000}"/>
    <cellStyle name="40% - Accent6 4 2 5 2 3" xfId="22729" xr:uid="{00000000-0005-0000-0000-00001B3F0000}"/>
    <cellStyle name="40% - Accent6 4 2 5 3" xfId="12130" xr:uid="{00000000-0005-0000-0000-00001C3F0000}"/>
    <cellStyle name="40% - Accent6 4 2 5 4" xfId="20146" xr:uid="{00000000-0005-0000-0000-00001D3F0000}"/>
    <cellStyle name="40% - Accent6 4 2 6" xfId="12131" xr:uid="{00000000-0005-0000-0000-00001E3F0000}"/>
    <cellStyle name="40% - Accent6 4 2 6 2" xfId="12132" xr:uid="{00000000-0005-0000-0000-00001F3F0000}"/>
    <cellStyle name="40% - Accent6 4 2 6 3" xfId="21439" xr:uid="{00000000-0005-0000-0000-0000203F0000}"/>
    <cellStyle name="40% - Accent6 4 2 7" xfId="12133" xr:uid="{00000000-0005-0000-0000-0000213F0000}"/>
    <cellStyle name="40% - Accent6 4 2 8" xfId="18840" xr:uid="{00000000-0005-0000-0000-0000223F0000}"/>
    <cellStyle name="40% - Accent6 4 3" xfId="12134" xr:uid="{00000000-0005-0000-0000-0000233F0000}"/>
    <cellStyle name="40% - Accent6 4 3 2" xfId="12135" xr:uid="{00000000-0005-0000-0000-0000243F0000}"/>
    <cellStyle name="40% - Accent6 4 3 2 2" xfId="12136" xr:uid="{00000000-0005-0000-0000-0000253F0000}"/>
    <cellStyle name="40% - Accent6 4 3 2 2 2" xfId="12137" xr:uid="{00000000-0005-0000-0000-0000263F0000}"/>
    <cellStyle name="40% - Accent6 4 3 2 2 2 2" xfId="12138" xr:uid="{00000000-0005-0000-0000-0000273F0000}"/>
    <cellStyle name="40% - Accent6 4 3 2 2 2 2 2" xfId="12139" xr:uid="{00000000-0005-0000-0000-0000283F0000}"/>
    <cellStyle name="40% - Accent6 4 3 2 2 2 2 3" xfId="23777" xr:uid="{00000000-0005-0000-0000-0000293F0000}"/>
    <cellStyle name="40% - Accent6 4 3 2 2 2 3" xfId="12140" xr:uid="{00000000-0005-0000-0000-00002A3F0000}"/>
    <cellStyle name="40% - Accent6 4 3 2 2 2 4" xfId="21194" xr:uid="{00000000-0005-0000-0000-00002B3F0000}"/>
    <cellStyle name="40% - Accent6 4 3 2 2 3" xfId="12141" xr:uid="{00000000-0005-0000-0000-00002C3F0000}"/>
    <cellStyle name="40% - Accent6 4 3 2 2 3 2" xfId="12142" xr:uid="{00000000-0005-0000-0000-00002D3F0000}"/>
    <cellStyle name="40% - Accent6 4 3 2 2 3 3" xfId="22487" xr:uid="{00000000-0005-0000-0000-00002E3F0000}"/>
    <cellStyle name="40% - Accent6 4 3 2 2 4" xfId="12143" xr:uid="{00000000-0005-0000-0000-00002F3F0000}"/>
    <cellStyle name="40% - Accent6 4 3 2 2 5" xfId="19900" xr:uid="{00000000-0005-0000-0000-0000303F0000}"/>
    <cellStyle name="40% - Accent6 4 3 2 3" xfId="12144" xr:uid="{00000000-0005-0000-0000-0000313F0000}"/>
    <cellStyle name="40% - Accent6 4 3 2 3 2" xfId="12145" xr:uid="{00000000-0005-0000-0000-0000323F0000}"/>
    <cellStyle name="40% - Accent6 4 3 2 3 2 2" xfId="12146" xr:uid="{00000000-0005-0000-0000-0000333F0000}"/>
    <cellStyle name="40% - Accent6 4 3 2 3 2 3" xfId="23132" xr:uid="{00000000-0005-0000-0000-0000343F0000}"/>
    <cellStyle name="40% - Accent6 4 3 2 3 3" xfId="12147" xr:uid="{00000000-0005-0000-0000-0000353F0000}"/>
    <cellStyle name="40% - Accent6 4 3 2 3 4" xfId="20549" xr:uid="{00000000-0005-0000-0000-0000363F0000}"/>
    <cellStyle name="40% - Accent6 4 3 2 4" xfId="12148" xr:uid="{00000000-0005-0000-0000-0000373F0000}"/>
    <cellStyle name="40% - Accent6 4 3 2 4 2" xfId="12149" xr:uid="{00000000-0005-0000-0000-0000383F0000}"/>
    <cellStyle name="40% - Accent6 4 3 2 4 3" xfId="21842" xr:uid="{00000000-0005-0000-0000-0000393F0000}"/>
    <cellStyle name="40% - Accent6 4 3 2 5" xfId="12150" xr:uid="{00000000-0005-0000-0000-00003A3F0000}"/>
    <cellStyle name="40% - Accent6 4 3 2 6" xfId="19252" xr:uid="{00000000-0005-0000-0000-00003B3F0000}"/>
    <cellStyle name="40% - Accent6 4 3 3" xfId="12151" xr:uid="{00000000-0005-0000-0000-00003C3F0000}"/>
    <cellStyle name="40% - Accent6 4 3 3 2" xfId="12152" xr:uid="{00000000-0005-0000-0000-00003D3F0000}"/>
    <cellStyle name="40% - Accent6 4 3 3 2 2" xfId="12153" xr:uid="{00000000-0005-0000-0000-00003E3F0000}"/>
    <cellStyle name="40% - Accent6 4 3 3 2 2 2" xfId="12154" xr:uid="{00000000-0005-0000-0000-00003F3F0000}"/>
    <cellStyle name="40% - Accent6 4 3 3 2 2 3" xfId="23455" xr:uid="{00000000-0005-0000-0000-0000403F0000}"/>
    <cellStyle name="40% - Accent6 4 3 3 2 3" xfId="12155" xr:uid="{00000000-0005-0000-0000-0000413F0000}"/>
    <cellStyle name="40% - Accent6 4 3 3 2 4" xfId="20872" xr:uid="{00000000-0005-0000-0000-0000423F0000}"/>
    <cellStyle name="40% - Accent6 4 3 3 3" xfId="12156" xr:uid="{00000000-0005-0000-0000-0000433F0000}"/>
    <cellStyle name="40% - Accent6 4 3 3 3 2" xfId="12157" xr:uid="{00000000-0005-0000-0000-0000443F0000}"/>
    <cellStyle name="40% - Accent6 4 3 3 3 3" xfId="22165" xr:uid="{00000000-0005-0000-0000-0000453F0000}"/>
    <cellStyle name="40% - Accent6 4 3 3 4" xfId="12158" xr:uid="{00000000-0005-0000-0000-0000463F0000}"/>
    <cellStyle name="40% - Accent6 4 3 3 5" xfId="19578" xr:uid="{00000000-0005-0000-0000-0000473F0000}"/>
    <cellStyle name="40% - Accent6 4 3 4" xfId="12159" xr:uid="{00000000-0005-0000-0000-0000483F0000}"/>
    <cellStyle name="40% - Accent6 4 3 4 2" xfId="12160" xr:uid="{00000000-0005-0000-0000-0000493F0000}"/>
    <cellStyle name="40% - Accent6 4 3 4 2 2" xfId="12161" xr:uid="{00000000-0005-0000-0000-00004A3F0000}"/>
    <cellStyle name="40% - Accent6 4 3 4 2 3" xfId="22810" xr:uid="{00000000-0005-0000-0000-00004B3F0000}"/>
    <cellStyle name="40% - Accent6 4 3 4 3" xfId="12162" xr:uid="{00000000-0005-0000-0000-00004C3F0000}"/>
    <cellStyle name="40% - Accent6 4 3 4 4" xfId="20227" xr:uid="{00000000-0005-0000-0000-00004D3F0000}"/>
    <cellStyle name="40% - Accent6 4 3 5" xfId="12163" xr:uid="{00000000-0005-0000-0000-00004E3F0000}"/>
    <cellStyle name="40% - Accent6 4 3 5 2" xfId="12164" xr:uid="{00000000-0005-0000-0000-00004F3F0000}"/>
    <cellStyle name="40% - Accent6 4 3 5 3" xfId="21520" xr:uid="{00000000-0005-0000-0000-0000503F0000}"/>
    <cellStyle name="40% - Accent6 4 3 6" xfId="12165" xr:uid="{00000000-0005-0000-0000-0000513F0000}"/>
    <cellStyle name="40% - Accent6 4 3 7" xfId="18926" xr:uid="{00000000-0005-0000-0000-0000523F0000}"/>
    <cellStyle name="40% - Accent6 4 4" xfId="12166" xr:uid="{00000000-0005-0000-0000-0000533F0000}"/>
    <cellStyle name="40% - Accent6 4 4 2" xfId="12167" xr:uid="{00000000-0005-0000-0000-0000543F0000}"/>
    <cellStyle name="40% - Accent6 4 4 2 2" xfId="12168" xr:uid="{00000000-0005-0000-0000-0000553F0000}"/>
    <cellStyle name="40% - Accent6 4 4 2 2 2" xfId="12169" xr:uid="{00000000-0005-0000-0000-0000563F0000}"/>
    <cellStyle name="40% - Accent6 4 4 2 2 2 2" xfId="12170" xr:uid="{00000000-0005-0000-0000-0000573F0000}"/>
    <cellStyle name="40% - Accent6 4 4 2 2 2 3" xfId="23616" xr:uid="{00000000-0005-0000-0000-0000583F0000}"/>
    <cellStyle name="40% - Accent6 4 4 2 2 3" xfId="12171" xr:uid="{00000000-0005-0000-0000-0000593F0000}"/>
    <cellStyle name="40% - Accent6 4 4 2 2 4" xfId="21033" xr:uid="{00000000-0005-0000-0000-00005A3F0000}"/>
    <cellStyle name="40% - Accent6 4 4 2 3" xfId="12172" xr:uid="{00000000-0005-0000-0000-00005B3F0000}"/>
    <cellStyle name="40% - Accent6 4 4 2 3 2" xfId="12173" xr:uid="{00000000-0005-0000-0000-00005C3F0000}"/>
    <cellStyle name="40% - Accent6 4 4 2 3 3" xfId="22326" xr:uid="{00000000-0005-0000-0000-00005D3F0000}"/>
    <cellStyle name="40% - Accent6 4 4 2 4" xfId="12174" xr:uid="{00000000-0005-0000-0000-00005E3F0000}"/>
    <cellStyle name="40% - Accent6 4 4 2 5" xfId="19739" xr:uid="{00000000-0005-0000-0000-00005F3F0000}"/>
    <cellStyle name="40% - Accent6 4 4 3" xfId="12175" xr:uid="{00000000-0005-0000-0000-0000603F0000}"/>
    <cellStyle name="40% - Accent6 4 4 3 2" xfId="12176" xr:uid="{00000000-0005-0000-0000-0000613F0000}"/>
    <cellStyle name="40% - Accent6 4 4 3 2 2" xfId="12177" xr:uid="{00000000-0005-0000-0000-0000623F0000}"/>
    <cellStyle name="40% - Accent6 4 4 3 2 3" xfId="22971" xr:uid="{00000000-0005-0000-0000-0000633F0000}"/>
    <cellStyle name="40% - Accent6 4 4 3 3" xfId="12178" xr:uid="{00000000-0005-0000-0000-0000643F0000}"/>
    <cellStyle name="40% - Accent6 4 4 3 4" xfId="20388" xr:uid="{00000000-0005-0000-0000-0000653F0000}"/>
    <cellStyle name="40% - Accent6 4 4 4" xfId="12179" xr:uid="{00000000-0005-0000-0000-0000663F0000}"/>
    <cellStyle name="40% - Accent6 4 4 4 2" xfId="12180" xr:uid="{00000000-0005-0000-0000-0000673F0000}"/>
    <cellStyle name="40% - Accent6 4 4 4 3" xfId="21681" xr:uid="{00000000-0005-0000-0000-0000683F0000}"/>
    <cellStyle name="40% - Accent6 4 4 5" xfId="12181" xr:uid="{00000000-0005-0000-0000-0000693F0000}"/>
    <cellStyle name="40% - Accent6 4 4 6" xfId="19091" xr:uid="{00000000-0005-0000-0000-00006A3F0000}"/>
    <cellStyle name="40% - Accent6 4 5" xfId="12182" xr:uid="{00000000-0005-0000-0000-00006B3F0000}"/>
    <cellStyle name="40% - Accent6 4 5 2" xfId="12183" xr:uid="{00000000-0005-0000-0000-00006C3F0000}"/>
    <cellStyle name="40% - Accent6 4 5 2 2" xfId="12184" xr:uid="{00000000-0005-0000-0000-00006D3F0000}"/>
    <cellStyle name="40% - Accent6 4 5 2 2 2" xfId="12185" xr:uid="{00000000-0005-0000-0000-00006E3F0000}"/>
    <cellStyle name="40% - Accent6 4 5 2 2 3" xfId="23293" xr:uid="{00000000-0005-0000-0000-00006F3F0000}"/>
    <cellStyle name="40% - Accent6 4 5 2 3" xfId="12186" xr:uid="{00000000-0005-0000-0000-0000703F0000}"/>
    <cellStyle name="40% - Accent6 4 5 2 4" xfId="20710" xr:uid="{00000000-0005-0000-0000-0000713F0000}"/>
    <cellStyle name="40% - Accent6 4 5 3" xfId="12187" xr:uid="{00000000-0005-0000-0000-0000723F0000}"/>
    <cellStyle name="40% - Accent6 4 5 3 2" xfId="12188" xr:uid="{00000000-0005-0000-0000-0000733F0000}"/>
    <cellStyle name="40% - Accent6 4 5 3 3" xfId="22003" xr:uid="{00000000-0005-0000-0000-0000743F0000}"/>
    <cellStyle name="40% - Accent6 4 5 4" xfId="12189" xr:uid="{00000000-0005-0000-0000-0000753F0000}"/>
    <cellStyle name="40% - Accent6 4 5 5" xfId="19417" xr:uid="{00000000-0005-0000-0000-0000763F0000}"/>
    <cellStyle name="40% - Accent6 4 6" xfId="12190" xr:uid="{00000000-0005-0000-0000-0000773F0000}"/>
    <cellStyle name="40% - Accent6 4 6 2" xfId="12191" xr:uid="{00000000-0005-0000-0000-0000783F0000}"/>
    <cellStyle name="40% - Accent6 4 6 2 2" xfId="12192" xr:uid="{00000000-0005-0000-0000-0000793F0000}"/>
    <cellStyle name="40% - Accent6 4 6 2 3" xfId="22648" xr:uid="{00000000-0005-0000-0000-00007A3F0000}"/>
    <cellStyle name="40% - Accent6 4 6 3" xfId="12193" xr:uid="{00000000-0005-0000-0000-00007B3F0000}"/>
    <cellStyle name="40% - Accent6 4 6 4" xfId="20065" xr:uid="{00000000-0005-0000-0000-00007C3F0000}"/>
    <cellStyle name="40% - Accent6 4 7" xfId="12194" xr:uid="{00000000-0005-0000-0000-00007D3F0000}"/>
    <cellStyle name="40% - Accent6 4 7 2" xfId="12195" xr:uid="{00000000-0005-0000-0000-00007E3F0000}"/>
    <cellStyle name="40% - Accent6 4 7 3" xfId="21358" xr:uid="{00000000-0005-0000-0000-00007F3F0000}"/>
    <cellStyle name="40% - Accent6 4 8" xfId="12196" xr:uid="{00000000-0005-0000-0000-0000803F0000}"/>
    <cellStyle name="40% - Accent6 4 9" xfId="18740" xr:uid="{00000000-0005-0000-0000-0000813F0000}"/>
    <cellStyle name="40% - Accent6 5" xfId="12197" xr:uid="{00000000-0005-0000-0000-0000823F0000}"/>
    <cellStyle name="40% - Accent6 5 2" xfId="12198" xr:uid="{00000000-0005-0000-0000-0000833F0000}"/>
    <cellStyle name="40% - Accent6 5 2 2" xfId="12199" xr:uid="{00000000-0005-0000-0000-0000843F0000}"/>
    <cellStyle name="40% - Accent6 5 2 2 2" xfId="12200" xr:uid="{00000000-0005-0000-0000-0000853F0000}"/>
    <cellStyle name="40% - Accent6 5 2 2 2 2" xfId="12201" xr:uid="{00000000-0005-0000-0000-0000863F0000}"/>
    <cellStyle name="40% - Accent6 5 2 2 2 2 2" xfId="12202" xr:uid="{00000000-0005-0000-0000-0000873F0000}"/>
    <cellStyle name="40% - Accent6 5 2 2 2 2 2 2" xfId="12203" xr:uid="{00000000-0005-0000-0000-0000883F0000}"/>
    <cellStyle name="40% - Accent6 5 2 2 2 2 2 3" xfId="23817" xr:uid="{00000000-0005-0000-0000-0000893F0000}"/>
    <cellStyle name="40% - Accent6 5 2 2 2 2 3" xfId="12204" xr:uid="{00000000-0005-0000-0000-00008A3F0000}"/>
    <cellStyle name="40% - Accent6 5 2 2 2 2 4" xfId="21234" xr:uid="{00000000-0005-0000-0000-00008B3F0000}"/>
    <cellStyle name="40% - Accent6 5 2 2 2 3" xfId="12205" xr:uid="{00000000-0005-0000-0000-00008C3F0000}"/>
    <cellStyle name="40% - Accent6 5 2 2 2 3 2" xfId="12206" xr:uid="{00000000-0005-0000-0000-00008D3F0000}"/>
    <cellStyle name="40% - Accent6 5 2 2 2 3 3" xfId="22527" xr:uid="{00000000-0005-0000-0000-00008E3F0000}"/>
    <cellStyle name="40% - Accent6 5 2 2 2 4" xfId="12207" xr:uid="{00000000-0005-0000-0000-00008F3F0000}"/>
    <cellStyle name="40% - Accent6 5 2 2 2 5" xfId="19940" xr:uid="{00000000-0005-0000-0000-0000903F0000}"/>
    <cellStyle name="40% - Accent6 5 2 2 3" xfId="12208" xr:uid="{00000000-0005-0000-0000-0000913F0000}"/>
    <cellStyle name="40% - Accent6 5 2 2 3 2" xfId="12209" xr:uid="{00000000-0005-0000-0000-0000923F0000}"/>
    <cellStyle name="40% - Accent6 5 2 2 3 2 2" xfId="12210" xr:uid="{00000000-0005-0000-0000-0000933F0000}"/>
    <cellStyle name="40% - Accent6 5 2 2 3 2 3" xfId="23172" xr:uid="{00000000-0005-0000-0000-0000943F0000}"/>
    <cellStyle name="40% - Accent6 5 2 2 3 3" xfId="12211" xr:uid="{00000000-0005-0000-0000-0000953F0000}"/>
    <cellStyle name="40% - Accent6 5 2 2 3 4" xfId="20589" xr:uid="{00000000-0005-0000-0000-0000963F0000}"/>
    <cellStyle name="40% - Accent6 5 2 2 4" xfId="12212" xr:uid="{00000000-0005-0000-0000-0000973F0000}"/>
    <cellStyle name="40% - Accent6 5 2 2 4 2" xfId="12213" xr:uid="{00000000-0005-0000-0000-0000983F0000}"/>
    <cellStyle name="40% - Accent6 5 2 2 4 3" xfId="21882" xr:uid="{00000000-0005-0000-0000-0000993F0000}"/>
    <cellStyle name="40% - Accent6 5 2 2 5" xfId="12214" xr:uid="{00000000-0005-0000-0000-00009A3F0000}"/>
    <cellStyle name="40% - Accent6 5 2 2 6" xfId="19292" xr:uid="{00000000-0005-0000-0000-00009B3F0000}"/>
    <cellStyle name="40% - Accent6 5 2 3" xfId="12215" xr:uid="{00000000-0005-0000-0000-00009C3F0000}"/>
    <cellStyle name="40% - Accent6 5 2 3 2" xfId="12216" xr:uid="{00000000-0005-0000-0000-00009D3F0000}"/>
    <cellStyle name="40% - Accent6 5 2 3 2 2" xfId="12217" xr:uid="{00000000-0005-0000-0000-00009E3F0000}"/>
    <cellStyle name="40% - Accent6 5 2 3 2 2 2" xfId="12218" xr:uid="{00000000-0005-0000-0000-00009F3F0000}"/>
    <cellStyle name="40% - Accent6 5 2 3 2 2 3" xfId="23495" xr:uid="{00000000-0005-0000-0000-0000A03F0000}"/>
    <cellStyle name="40% - Accent6 5 2 3 2 3" xfId="12219" xr:uid="{00000000-0005-0000-0000-0000A13F0000}"/>
    <cellStyle name="40% - Accent6 5 2 3 2 4" xfId="20912" xr:uid="{00000000-0005-0000-0000-0000A23F0000}"/>
    <cellStyle name="40% - Accent6 5 2 3 3" xfId="12220" xr:uid="{00000000-0005-0000-0000-0000A33F0000}"/>
    <cellStyle name="40% - Accent6 5 2 3 3 2" xfId="12221" xr:uid="{00000000-0005-0000-0000-0000A43F0000}"/>
    <cellStyle name="40% - Accent6 5 2 3 3 3" xfId="22205" xr:uid="{00000000-0005-0000-0000-0000A53F0000}"/>
    <cellStyle name="40% - Accent6 5 2 3 4" xfId="12222" xr:uid="{00000000-0005-0000-0000-0000A63F0000}"/>
    <cellStyle name="40% - Accent6 5 2 3 5" xfId="19618" xr:uid="{00000000-0005-0000-0000-0000A73F0000}"/>
    <cellStyle name="40% - Accent6 5 2 4" xfId="12223" xr:uid="{00000000-0005-0000-0000-0000A83F0000}"/>
    <cellStyle name="40% - Accent6 5 2 4 2" xfId="12224" xr:uid="{00000000-0005-0000-0000-0000A93F0000}"/>
    <cellStyle name="40% - Accent6 5 2 4 2 2" xfId="12225" xr:uid="{00000000-0005-0000-0000-0000AA3F0000}"/>
    <cellStyle name="40% - Accent6 5 2 4 2 3" xfId="22850" xr:uid="{00000000-0005-0000-0000-0000AB3F0000}"/>
    <cellStyle name="40% - Accent6 5 2 4 3" xfId="12226" xr:uid="{00000000-0005-0000-0000-0000AC3F0000}"/>
    <cellStyle name="40% - Accent6 5 2 4 4" xfId="20267" xr:uid="{00000000-0005-0000-0000-0000AD3F0000}"/>
    <cellStyle name="40% - Accent6 5 2 5" xfId="12227" xr:uid="{00000000-0005-0000-0000-0000AE3F0000}"/>
    <cellStyle name="40% - Accent6 5 2 5 2" xfId="12228" xr:uid="{00000000-0005-0000-0000-0000AF3F0000}"/>
    <cellStyle name="40% - Accent6 5 2 5 3" xfId="21560" xr:uid="{00000000-0005-0000-0000-0000B03F0000}"/>
    <cellStyle name="40% - Accent6 5 2 6" xfId="12229" xr:uid="{00000000-0005-0000-0000-0000B13F0000}"/>
    <cellStyle name="40% - Accent6 5 2 7" xfId="18966" xr:uid="{00000000-0005-0000-0000-0000B23F0000}"/>
    <cellStyle name="40% - Accent6 5 3" xfId="12230" xr:uid="{00000000-0005-0000-0000-0000B33F0000}"/>
    <cellStyle name="40% - Accent6 5 3 2" xfId="12231" xr:uid="{00000000-0005-0000-0000-0000B43F0000}"/>
    <cellStyle name="40% - Accent6 5 3 2 2" xfId="12232" xr:uid="{00000000-0005-0000-0000-0000B53F0000}"/>
    <cellStyle name="40% - Accent6 5 3 2 2 2" xfId="12233" xr:uid="{00000000-0005-0000-0000-0000B63F0000}"/>
    <cellStyle name="40% - Accent6 5 3 2 2 2 2" xfId="12234" xr:uid="{00000000-0005-0000-0000-0000B73F0000}"/>
    <cellStyle name="40% - Accent6 5 3 2 2 2 3" xfId="23656" xr:uid="{00000000-0005-0000-0000-0000B83F0000}"/>
    <cellStyle name="40% - Accent6 5 3 2 2 3" xfId="12235" xr:uid="{00000000-0005-0000-0000-0000B93F0000}"/>
    <cellStyle name="40% - Accent6 5 3 2 2 4" xfId="21073" xr:uid="{00000000-0005-0000-0000-0000BA3F0000}"/>
    <cellStyle name="40% - Accent6 5 3 2 3" xfId="12236" xr:uid="{00000000-0005-0000-0000-0000BB3F0000}"/>
    <cellStyle name="40% - Accent6 5 3 2 3 2" xfId="12237" xr:uid="{00000000-0005-0000-0000-0000BC3F0000}"/>
    <cellStyle name="40% - Accent6 5 3 2 3 3" xfId="22366" xr:uid="{00000000-0005-0000-0000-0000BD3F0000}"/>
    <cellStyle name="40% - Accent6 5 3 2 4" xfId="12238" xr:uid="{00000000-0005-0000-0000-0000BE3F0000}"/>
    <cellStyle name="40% - Accent6 5 3 2 5" xfId="19779" xr:uid="{00000000-0005-0000-0000-0000BF3F0000}"/>
    <cellStyle name="40% - Accent6 5 3 3" xfId="12239" xr:uid="{00000000-0005-0000-0000-0000C03F0000}"/>
    <cellStyle name="40% - Accent6 5 3 3 2" xfId="12240" xr:uid="{00000000-0005-0000-0000-0000C13F0000}"/>
    <cellStyle name="40% - Accent6 5 3 3 2 2" xfId="12241" xr:uid="{00000000-0005-0000-0000-0000C23F0000}"/>
    <cellStyle name="40% - Accent6 5 3 3 2 3" xfId="23011" xr:uid="{00000000-0005-0000-0000-0000C33F0000}"/>
    <cellStyle name="40% - Accent6 5 3 3 3" xfId="12242" xr:uid="{00000000-0005-0000-0000-0000C43F0000}"/>
    <cellStyle name="40% - Accent6 5 3 3 4" xfId="20428" xr:uid="{00000000-0005-0000-0000-0000C53F0000}"/>
    <cellStyle name="40% - Accent6 5 3 4" xfId="12243" xr:uid="{00000000-0005-0000-0000-0000C63F0000}"/>
    <cellStyle name="40% - Accent6 5 3 4 2" xfId="12244" xr:uid="{00000000-0005-0000-0000-0000C73F0000}"/>
    <cellStyle name="40% - Accent6 5 3 4 3" xfId="21721" xr:uid="{00000000-0005-0000-0000-0000C83F0000}"/>
    <cellStyle name="40% - Accent6 5 3 5" xfId="12245" xr:uid="{00000000-0005-0000-0000-0000C93F0000}"/>
    <cellStyle name="40% - Accent6 5 3 6" xfId="19131" xr:uid="{00000000-0005-0000-0000-0000CA3F0000}"/>
    <cellStyle name="40% - Accent6 5 4" xfId="12246" xr:uid="{00000000-0005-0000-0000-0000CB3F0000}"/>
    <cellStyle name="40% - Accent6 5 4 2" xfId="12247" xr:uid="{00000000-0005-0000-0000-0000CC3F0000}"/>
    <cellStyle name="40% - Accent6 5 4 2 2" xfId="12248" xr:uid="{00000000-0005-0000-0000-0000CD3F0000}"/>
    <cellStyle name="40% - Accent6 5 4 2 2 2" xfId="12249" xr:uid="{00000000-0005-0000-0000-0000CE3F0000}"/>
    <cellStyle name="40% - Accent6 5 4 2 2 3" xfId="23334" xr:uid="{00000000-0005-0000-0000-0000CF3F0000}"/>
    <cellStyle name="40% - Accent6 5 4 2 3" xfId="12250" xr:uid="{00000000-0005-0000-0000-0000D03F0000}"/>
    <cellStyle name="40% - Accent6 5 4 2 4" xfId="20751" xr:uid="{00000000-0005-0000-0000-0000D13F0000}"/>
    <cellStyle name="40% - Accent6 5 4 3" xfId="12251" xr:uid="{00000000-0005-0000-0000-0000D23F0000}"/>
    <cellStyle name="40% - Accent6 5 4 3 2" xfId="12252" xr:uid="{00000000-0005-0000-0000-0000D33F0000}"/>
    <cellStyle name="40% - Accent6 5 4 3 3" xfId="22044" xr:uid="{00000000-0005-0000-0000-0000D43F0000}"/>
    <cellStyle name="40% - Accent6 5 4 4" xfId="12253" xr:uid="{00000000-0005-0000-0000-0000D53F0000}"/>
    <cellStyle name="40% - Accent6 5 4 5" xfId="19457" xr:uid="{00000000-0005-0000-0000-0000D63F0000}"/>
    <cellStyle name="40% - Accent6 5 5" xfId="12254" xr:uid="{00000000-0005-0000-0000-0000D73F0000}"/>
    <cellStyle name="40% - Accent6 5 5 2" xfId="12255" xr:uid="{00000000-0005-0000-0000-0000D83F0000}"/>
    <cellStyle name="40% - Accent6 5 5 2 2" xfId="12256" xr:uid="{00000000-0005-0000-0000-0000D93F0000}"/>
    <cellStyle name="40% - Accent6 5 5 2 3" xfId="22689" xr:uid="{00000000-0005-0000-0000-0000DA3F0000}"/>
    <cellStyle name="40% - Accent6 5 5 3" xfId="12257" xr:uid="{00000000-0005-0000-0000-0000DB3F0000}"/>
    <cellStyle name="40% - Accent6 5 5 4" xfId="20106" xr:uid="{00000000-0005-0000-0000-0000DC3F0000}"/>
    <cellStyle name="40% - Accent6 5 6" xfId="12258" xr:uid="{00000000-0005-0000-0000-0000DD3F0000}"/>
    <cellStyle name="40% - Accent6 5 6 2" xfId="12259" xr:uid="{00000000-0005-0000-0000-0000DE3F0000}"/>
    <cellStyle name="40% - Accent6 5 6 3" xfId="21399" xr:uid="{00000000-0005-0000-0000-0000DF3F0000}"/>
    <cellStyle name="40% - Accent6 5 7" xfId="12260" xr:uid="{00000000-0005-0000-0000-0000E03F0000}"/>
    <cellStyle name="40% - Accent6 5 8" xfId="18793" xr:uid="{00000000-0005-0000-0000-0000E13F0000}"/>
    <cellStyle name="40% - Accent6 6" xfId="12261" xr:uid="{00000000-0005-0000-0000-0000E23F0000}"/>
    <cellStyle name="40% - Accent6 6 2" xfId="12262" xr:uid="{00000000-0005-0000-0000-0000E33F0000}"/>
    <cellStyle name="40% - Accent6 6 2 2" xfId="12263" xr:uid="{00000000-0005-0000-0000-0000E43F0000}"/>
    <cellStyle name="40% - Accent6 6 2 2 2" xfId="12264" xr:uid="{00000000-0005-0000-0000-0000E53F0000}"/>
    <cellStyle name="40% - Accent6 6 2 2 2 2" xfId="12265" xr:uid="{00000000-0005-0000-0000-0000E63F0000}"/>
    <cellStyle name="40% - Accent6 6 2 2 2 2 2" xfId="12266" xr:uid="{00000000-0005-0000-0000-0000E73F0000}"/>
    <cellStyle name="40% - Accent6 6 2 2 2 2 3" xfId="23737" xr:uid="{00000000-0005-0000-0000-0000E83F0000}"/>
    <cellStyle name="40% - Accent6 6 2 2 2 3" xfId="12267" xr:uid="{00000000-0005-0000-0000-0000E93F0000}"/>
    <cellStyle name="40% - Accent6 6 2 2 2 4" xfId="21154" xr:uid="{00000000-0005-0000-0000-0000EA3F0000}"/>
    <cellStyle name="40% - Accent6 6 2 2 3" xfId="12268" xr:uid="{00000000-0005-0000-0000-0000EB3F0000}"/>
    <cellStyle name="40% - Accent6 6 2 2 3 2" xfId="12269" xr:uid="{00000000-0005-0000-0000-0000EC3F0000}"/>
    <cellStyle name="40% - Accent6 6 2 2 3 3" xfId="22447" xr:uid="{00000000-0005-0000-0000-0000ED3F0000}"/>
    <cellStyle name="40% - Accent6 6 2 2 4" xfId="12270" xr:uid="{00000000-0005-0000-0000-0000EE3F0000}"/>
    <cellStyle name="40% - Accent6 6 2 2 5" xfId="19860" xr:uid="{00000000-0005-0000-0000-0000EF3F0000}"/>
    <cellStyle name="40% - Accent6 6 2 3" xfId="12271" xr:uid="{00000000-0005-0000-0000-0000F03F0000}"/>
    <cellStyle name="40% - Accent6 6 2 3 2" xfId="12272" xr:uid="{00000000-0005-0000-0000-0000F13F0000}"/>
    <cellStyle name="40% - Accent6 6 2 3 2 2" xfId="12273" xr:uid="{00000000-0005-0000-0000-0000F23F0000}"/>
    <cellStyle name="40% - Accent6 6 2 3 2 3" xfId="23092" xr:uid="{00000000-0005-0000-0000-0000F33F0000}"/>
    <cellStyle name="40% - Accent6 6 2 3 3" xfId="12274" xr:uid="{00000000-0005-0000-0000-0000F43F0000}"/>
    <cellStyle name="40% - Accent6 6 2 3 4" xfId="20509" xr:uid="{00000000-0005-0000-0000-0000F53F0000}"/>
    <cellStyle name="40% - Accent6 6 2 4" xfId="12275" xr:uid="{00000000-0005-0000-0000-0000F63F0000}"/>
    <cellStyle name="40% - Accent6 6 2 4 2" xfId="12276" xr:uid="{00000000-0005-0000-0000-0000F73F0000}"/>
    <cellStyle name="40% - Accent6 6 2 4 3" xfId="21802" xr:uid="{00000000-0005-0000-0000-0000F83F0000}"/>
    <cellStyle name="40% - Accent6 6 2 5" xfId="12277" xr:uid="{00000000-0005-0000-0000-0000F93F0000}"/>
    <cellStyle name="40% - Accent6 6 2 6" xfId="19212" xr:uid="{00000000-0005-0000-0000-0000FA3F0000}"/>
    <cellStyle name="40% - Accent6 6 3" xfId="12278" xr:uid="{00000000-0005-0000-0000-0000FB3F0000}"/>
    <cellStyle name="40% - Accent6 6 3 2" xfId="12279" xr:uid="{00000000-0005-0000-0000-0000FC3F0000}"/>
    <cellStyle name="40% - Accent6 6 3 2 2" xfId="12280" xr:uid="{00000000-0005-0000-0000-0000FD3F0000}"/>
    <cellStyle name="40% - Accent6 6 3 2 2 2" xfId="12281" xr:uid="{00000000-0005-0000-0000-0000FE3F0000}"/>
    <cellStyle name="40% - Accent6 6 3 2 2 3" xfId="23415" xr:uid="{00000000-0005-0000-0000-0000FF3F0000}"/>
    <cellStyle name="40% - Accent6 6 3 2 3" xfId="12282" xr:uid="{00000000-0005-0000-0000-000000400000}"/>
    <cellStyle name="40% - Accent6 6 3 2 4" xfId="20832" xr:uid="{00000000-0005-0000-0000-000001400000}"/>
    <cellStyle name="40% - Accent6 6 3 3" xfId="12283" xr:uid="{00000000-0005-0000-0000-000002400000}"/>
    <cellStyle name="40% - Accent6 6 3 3 2" xfId="12284" xr:uid="{00000000-0005-0000-0000-000003400000}"/>
    <cellStyle name="40% - Accent6 6 3 3 3" xfId="22125" xr:uid="{00000000-0005-0000-0000-000004400000}"/>
    <cellStyle name="40% - Accent6 6 3 4" xfId="12285" xr:uid="{00000000-0005-0000-0000-000005400000}"/>
    <cellStyle name="40% - Accent6 6 3 5" xfId="19538" xr:uid="{00000000-0005-0000-0000-000006400000}"/>
    <cellStyle name="40% - Accent6 6 4" xfId="12286" xr:uid="{00000000-0005-0000-0000-000007400000}"/>
    <cellStyle name="40% - Accent6 6 4 2" xfId="12287" xr:uid="{00000000-0005-0000-0000-000008400000}"/>
    <cellStyle name="40% - Accent6 6 4 2 2" xfId="12288" xr:uid="{00000000-0005-0000-0000-000009400000}"/>
    <cellStyle name="40% - Accent6 6 4 2 3" xfId="22770" xr:uid="{00000000-0005-0000-0000-00000A400000}"/>
    <cellStyle name="40% - Accent6 6 4 3" xfId="12289" xr:uid="{00000000-0005-0000-0000-00000B400000}"/>
    <cellStyle name="40% - Accent6 6 4 4" xfId="20187" xr:uid="{00000000-0005-0000-0000-00000C400000}"/>
    <cellStyle name="40% - Accent6 6 5" xfId="12290" xr:uid="{00000000-0005-0000-0000-00000D400000}"/>
    <cellStyle name="40% - Accent6 6 5 2" xfId="12291" xr:uid="{00000000-0005-0000-0000-00000E400000}"/>
    <cellStyle name="40% - Accent6 6 5 3" xfId="21480" xr:uid="{00000000-0005-0000-0000-00000F400000}"/>
    <cellStyle name="40% - Accent6 6 6" xfId="12292" xr:uid="{00000000-0005-0000-0000-000010400000}"/>
    <cellStyle name="40% - Accent6 6 7" xfId="18882" xr:uid="{00000000-0005-0000-0000-000011400000}"/>
    <cellStyle name="40% - Accent6 7" xfId="12293" xr:uid="{00000000-0005-0000-0000-000012400000}"/>
    <cellStyle name="40% - Accent6 7 2" xfId="12294" xr:uid="{00000000-0005-0000-0000-000013400000}"/>
    <cellStyle name="40% - Accent6 7 2 2" xfId="12295" xr:uid="{00000000-0005-0000-0000-000014400000}"/>
    <cellStyle name="40% - Accent6 7 2 2 2" xfId="12296" xr:uid="{00000000-0005-0000-0000-000015400000}"/>
    <cellStyle name="40% - Accent6 7 2 2 2 2" xfId="12297" xr:uid="{00000000-0005-0000-0000-000016400000}"/>
    <cellStyle name="40% - Accent6 7 2 2 2 3" xfId="23576" xr:uid="{00000000-0005-0000-0000-000017400000}"/>
    <cellStyle name="40% - Accent6 7 2 2 3" xfId="12298" xr:uid="{00000000-0005-0000-0000-000018400000}"/>
    <cellStyle name="40% - Accent6 7 2 2 4" xfId="20993" xr:uid="{00000000-0005-0000-0000-000019400000}"/>
    <cellStyle name="40% - Accent6 7 2 3" xfId="12299" xr:uid="{00000000-0005-0000-0000-00001A400000}"/>
    <cellStyle name="40% - Accent6 7 2 3 2" xfId="12300" xr:uid="{00000000-0005-0000-0000-00001B400000}"/>
    <cellStyle name="40% - Accent6 7 2 3 3" xfId="22286" xr:uid="{00000000-0005-0000-0000-00001C400000}"/>
    <cellStyle name="40% - Accent6 7 2 4" xfId="12301" xr:uid="{00000000-0005-0000-0000-00001D400000}"/>
    <cellStyle name="40% - Accent6 7 2 5" xfId="19699" xr:uid="{00000000-0005-0000-0000-00001E400000}"/>
    <cellStyle name="40% - Accent6 7 3" xfId="12302" xr:uid="{00000000-0005-0000-0000-00001F400000}"/>
    <cellStyle name="40% - Accent6 7 3 2" xfId="12303" xr:uid="{00000000-0005-0000-0000-000020400000}"/>
    <cellStyle name="40% - Accent6 7 3 2 2" xfId="12304" xr:uid="{00000000-0005-0000-0000-000021400000}"/>
    <cellStyle name="40% - Accent6 7 3 2 3" xfId="22931" xr:uid="{00000000-0005-0000-0000-000022400000}"/>
    <cellStyle name="40% - Accent6 7 3 3" xfId="12305" xr:uid="{00000000-0005-0000-0000-000023400000}"/>
    <cellStyle name="40% - Accent6 7 3 4" xfId="20348" xr:uid="{00000000-0005-0000-0000-000024400000}"/>
    <cellStyle name="40% - Accent6 7 4" xfId="12306" xr:uid="{00000000-0005-0000-0000-000025400000}"/>
    <cellStyle name="40% - Accent6 7 4 2" xfId="12307" xr:uid="{00000000-0005-0000-0000-000026400000}"/>
    <cellStyle name="40% - Accent6 7 4 3" xfId="21641" xr:uid="{00000000-0005-0000-0000-000027400000}"/>
    <cellStyle name="40% - Accent6 7 5" xfId="12308" xr:uid="{00000000-0005-0000-0000-000028400000}"/>
    <cellStyle name="40% - Accent6 7 6" xfId="19047" xr:uid="{00000000-0005-0000-0000-000029400000}"/>
    <cellStyle name="40% - Accent6 8" xfId="12309" xr:uid="{00000000-0005-0000-0000-00002A400000}"/>
    <cellStyle name="40% - Accent6 8 2" xfId="12310" xr:uid="{00000000-0005-0000-0000-00002B400000}"/>
    <cellStyle name="40% - Accent6 8 2 2" xfId="12311" xr:uid="{00000000-0005-0000-0000-00002C400000}"/>
    <cellStyle name="40% - Accent6 8 2 2 2" xfId="12312" xr:uid="{00000000-0005-0000-0000-00002D400000}"/>
    <cellStyle name="40% - Accent6 8 2 2 3" xfId="23253" xr:uid="{00000000-0005-0000-0000-00002E400000}"/>
    <cellStyle name="40% - Accent6 8 2 3" xfId="12313" xr:uid="{00000000-0005-0000-0000-00002F400000}"/>
    <cellStyle name="40% - Accent6 8 2 4" xfId="20670" xr:uid="{00000000-0005-0000-0000-000030400000}"/>
    <cellStyle name="40% - Accent6 8 3" xfId="12314" xr:uid="{00000000-0005-0000-0000-000031400000}"/>
    <cellStyle name="40% - Accent6 8 3 2" xfId="12315" xr:uid="{00000000-0005-0000-0000-000032400000}"/>
    <cellStyle name="40% - Accent6 8 3 3" xfId="21963" xr:uid="{00000000-0005-0000-0000-000033400000}"/>
    <cellStyle name="40% - Accent6 8 4" xfId="12316" xr:uid="{00000000-0005-0000-0000-000034400000}"/>
    <cellStyle name="40% - Accent6 8 5" xfId="19373" xr:uid="{00000000-0005-0000-0000-000035400000}"/>
    <cellStyle name="40% - Accent6 9" xfId="12317" xr:uid="{00000000-0005-0000-0000-000036400000}"/>
    <cellStyle name="40% - Accent6 9 2" xfId="12318" xr:uid="{00000000-0005-0000-0000-000037400000}"/>
    <cellStyle name="40% - Accent6 9 2 2" xfId="12319" xr:uid="{00000000-0005-0000-0000-000038400000}"/>
    <cellStyle name="40% - Accent6 9 2 3" xfId="22608" xr:uid="{00000000-0005-0000-0000-000039400000}"/>
    <cellStyle name="40% - Accent6 9 3" xfId="12320" xr:uid="{00000000-0005-0000-0000-00003A400000}"/>
    <cellStyle name="40% - Accent6 9 4" xfId="20021" xr:uid="{00000000-0005-0000-0000-00003B400000}"/>
    <cellStyle name="60% - Accent1 2" xfId="12321" xr:uid="{00000000-0005-0000-0000-00003C400000}"/>
    <cellStyle name="60% - Accent1 2 2" xfId="18642" xr:uid="{00000000-0005-0000-0000-00003D400000}"/>
    <cellStyle name="60% - Accent1 3" xfId="18613" xr:uid="{00000000-0005-0000-0000-00003E400000}"/>
    <cellStyle name="60% - Accent2 2" xfId="12322" xr:uid="{00000000-0005-0000-0000-00003F400000}"/>
    <cellStyle name="60% - Accent2 2 2" xfId="18643" xr:uid="{00000000-0005-0000-0000-000040400000}"/>
    <cellStyle name="60% - Accent2 3" xfId="18616" xr:uid="{00000000-0005-0000-0000-000041400000}"/>
    <cellStyle name="60% - Accent3 2" xfId="12323" xr:uid="{00000000-0005-0000-0000-000042400000}"/>
    <cellStyle name="60% - Accent3 2 2" xfId="18644" xr:uid="{00000000-0005-0000-0000-000043400000}"/>
    <cellStyle name="60% - Accent3 3" xfId="18619" xr:uid="{00000000-0005-0000-0000-000044400000}"/>
    <cellStyle name="60% - Accent4 2" xfId="12324" xr:uid="{00000000-0005-0000-0000-000045400000}"/>
    <cellStyle name="60% - Accent4 2 2" xfId="18645" xr:uid="{00000000-0005-0000-0000-000046400000}"/>
    <cellStyle name="60% - Accent4 3" xfId="18622" xr:uid="{00000000-0005-0000-0000-000047400000}"/>
    <cellStyle name="60% - Accent5 2" xfId="12325" xr:uid="{00000000-0005-0000-0000-000048400000}"/>
    <cellStyle name="60% - Accent5 2 2" xfId="18646" xr:uid="{00000000-0005-0000-0000-000049400000}"/>
    <cellStyle name="60% - Accent5 3" xfId="18626" xr:uid="{00000000-0005-0000-0000-00004A400000}"/>
    <cellStyle name="60% - Accent6 2" xfId="12326" xr:uid="{00000000-0005-0000-0000-00004B400000}"/>
    <cellStyle name="60% - Accent6 2 2" xfId="18647" xr:uid="{00000000-0005-0000-0000-00004C400000}"/>
    <cellStyle name="60% - Accent6 3" xfId="18630" xr:uid="{00000000-0005-0000-0000-00004D400000}"/>
    <cellStyle name="Accent1 2" xfId="12327" xr:uid="{00000000-0005-0000-0000-00004E400000}"/>
    <cellStyle name="Accent1 2 2" xfId="18648" xr:uid="{00000000-0005-0000-0000-00004F400000}"/>
    <cellStyle name="Accent1 3" xfId="18611" xr:uid="{00000000-0005-0000-0000-000050400000}"/>
    <cellStyle name="Accent2 2" xfId="12328" xr:uid="{00000000-0005-0000-0000-000051400000}"/>
    <cellStyle name="Accent2 2 2" xfId="18649" xr:uid="{00000000-0005-0000-0000-000052400000}"/>
    <cellStyle name="Accent2 3" xfId="18614" xr:uid="{00000000-0005-0000-0000-000053400000}"/>
    <cellStyle name="Accent3 2" xfId="12329" xr:uid="{00000000-0005-0000-0000-000054400000}"/>
    <cellStyle name="Accent3 2 2" xfId="18650" xr:uid="{00000000-0005-0000-0000-000055400000}"/>
    <cellStyle name="Accent3 3" xfId="18617" xr:uid="{00000000-0005-0000-0000-000056400000}"/>
    <cellStyle name="Accent4 2" xfId="12330" xr:uid="{00000000-0005-0000-0000-000057400000}"/>
    <cellStyle name="Accent4 2 2" xfId="18651" xr:uid="{00000000-0005-0000-0000-000058400000}"/>
    <cellStyle name="Accent4 3" xfId="18620" xr:uid="{00000000-0005-0000-0000-000059400000}"/>
    <cellStyle name="Accent5 2" xfId="12331" xr:uid="{00000000-0005-0000-0000-00005A400000}"/>
    <cellStyle name="Accent5 2 2" xfId="18652" xr:uid="{00000000-0005-0000-0000-00005B400000}"/>
    <cellStyle name="Accent5 3" xfId="18623" xr:uid="{00000000-0005-0000-0000-00005C400000}"/>
    <cellStyle name="Accent6 2" xfId="12332" xr:uid="{00000000-0005-0000-0000-00005D400000}"/>
    <cellStyle name="Accent6 2 2" xfId="18653" xr:uid="{00000000-0005-0000-0000-00005E400000}"/>
    <cellStyle name="Accent6 3" xfId="18627" xr:uid="{00000000-0005-0000-0000-00005F400000}"/>
    <cellStyle name="Bad 2" xfId="12333" xr:uid="{00000000-0005-0000-0000-000060400000}"/>
    <cellStyle name="Bad 2 2" xfId="18654" xr:uid="{00000000-0005-0000-0000-000061400000}"/>
    <cellStyle name="Bad 3" xfId="18600" xr:uid="{00000000-0005-0000-0000-000062400000}"/>
    <cellStyle name="Calculation 2" xfId="12334" xr:uid="{00000000-0005-0000-0000-000063400000}"/>
    <cellStyle name="Calculation 2 2" xfId="18655" xr:uid="{00000000-0005-0000-0000-000064400000}"/>
    <cellStyle name="Calculation 3" xfId="18604" xr:uid="{00000000-0005-0000-0000-000065400000}"/>
    <cellStyle name="Check Cell 2" xfId="12335" xr:uid="{00000000-0005-0000-0000-000066400000}"/>
    <cellStyle name="Check Cell 2 2" xfId="18656" xr:uid="{00000000-0005-0000-0000-000067400000}"/>
    <cellStyle name="Check Cell 3" xfId="18606" xr:uid="{00000000-0005-0000-0000-000068400000}"/>
    <cellStyle name="Comma 2" xfId="4" xr:uid="{00000000-0005-0000-0000-000069400000}"/>
    <cellStyle name="Comma 2 2" xfId="12336" xr:uid="{00000000-0005-0000-0000-00006A400000}"/>
    <cellStyle name="Comma 2 2 2" xfId="18686" xr:uid="{00000000-0005-0000-0000-00006B400000}"/>
    <cellStyle name="Comma 2 3" xfId="18657" xr:uid="{00000000-0005-0000-0000-00006C400000}"/>
    <cellStyle name="Comma 3" xfId="12337" xr:uid="{00000000-0005-0000-0000-00006D400000}"/>
    <cellStyle name="Comma 4" xfId="12338" xr:uid="{00000000-0005-0000-0000-00006E400000}"/>
    <cellStyle name="Comma0" xfId="12339" xr:uid="{00000000-0005-0000-0000-00006F400000}"/>
    <cellStyle name="Comma0 2" xfId="18678" xr:uid="{00000000-0005-0000-0000-000070400000}"/>
    <cellStyle name="Currency0" xfId="12340" xr:uid="{00000000-0005-0000-0000-000071400000}"/>
    <cellStyle name="Currency0 2" xfId="18679" xr:uid="{00000000-0005-0000-0000-000072400000}"/>
    <cellStyle name="Date" xfId="12341" xr:uid="{00000000-0005-0000-0000-000073400000}"/>
    <cellStyle name="Date 2" xfId="18680" xr:uid="{00000000-0005-0000-0000-000074400000}"/>
    <cellStyle name="Explanatory Text 2" xfId="12342" xr:uid="{00000000-0005-0000-0000-000075400000}"/>
    <cellStyle name="Explanatory Text 2 2" xfId="18658" xr:uid="{00000000-0005-0000-0000-000076400000}"/>
    <cellStyle name="Explanatory Text 3" xfId="18609" xr:uid="{00000000-0005-0000-0000-000077400000}"/>
    <cellStyle name="Fixed" xfId="12343" xr:uid="{00000000-0005-0000-0000-000078400000}"/>
    <cellStyle name="Fixed 2" xfId="18681" xr:uid="{00000000-0005-0000-0000-000079400000}"/>
    <cellStyle name="Good 2" xfId="12344" xr:uid="{00000000-0005-0000-0000-00007A400000}"/>
    <cellStyle name="Good 2 2" xfId="18659" xr:uid="{00000000-0005-0000-0000-00007B400000}"/>
    <cellStyle name="Good 3" xfId="18599" xr:uid="{00000000-0005-0000-0000-00007C400000}"/>
    <cellStyle name="Heading 1 10" xfId="12345" xr:uid="{00000000-0005-0000-0000-00007D400000}"/>
    <cellStyle name="Heading 1 10 2" xfId="19049" xr:uid="{00000000-0005-0000-0000-00007E400000}"/>
    <cellStyle name="Heading 1 11" xfId="12346" xr:uid="{00000000-0005-0000-0000-00007F400000}"/>
    <cellStyle name="Heading 1 11 2" xfId="19375" xr:uid="{00000000-0005-0000-0000-000080400000}"/>
    <cellStyle name="Heading 1 12" xfId="12347" xr:uid="{00000000-0005-0000-0000-000081400000}"/>
    <cellStyle name="Heading 1 12 2" xfId="20023" xr:uid="{00000000-0005-0000-0000-000082400000}"/>
    <cellStyle name="Heading 1 13" xfId="12348" xr:uid="{00000000-0005-0000-0000-000083400000}"/>
    <cellStyle name="Heading 1 13 2" xfId="21316" xr:uid="{00000000-0005-0000-0000-000084400000}"/>
    <cellStyle name="Heading 1 14" xfId="12349" xr:uid="{00000000-0005-0000-0000-000085400000}"/>
    <cellStyle name="Heading 1 15" xfId="18595" xr:uid="{00000000-0005-0000-0000-000086400000}"/>
    <cellStyle name="Heading 1 2" xfId="12350" xr:uid="{00000000-0005-0000-0000-000087400000}"/>
    <cellStyle name="Heading 1 2 2" xfId="18687" xr:uid="{00000000-0005-0000-0000-000088400000}"/>
    <cellStyle name="Heading 1 2 3" xfId="18660" xr:uid="{00000000-0005-0000-0000-000089400000}"/>
    <cellStyle name="Heading 1 3" xfId="12351" xr:uid="{00000000-0005-0000-0000-00008A400000}"/>
    <cellStyle name="Heading 1 3 2" xfId="18696" xr:uid="{00000000-0005-0000-0000-00008B400000}"/>
    <cellStyle name="Heading 1 4" xfId="12352" xr:uid="{00000000-0005-0000-0000-00008C400000}"/>
    <cellStyle name="Heading 1 4 2" xfId="18692" xr:uid="{00000000-0005-0000-0000-00008D400000}"/>
    <cellStyle name="Heading 1 5" xfId="12353" xr:uid="{00000000-0005-0000-0000-00008E400000}"/>
    <cellStyle name="Heading 1 5 2" xfId="18704" xr:uid="{00000000-0005-0000-0000-00008F400000}"/>
    <cellStyle name="Heading 1 6" xfId="12354" xr:uid="{00000000-0005-0000-0000-000090400000}"/>
    <cellStyle name="Heading 1 6 2" xfId="18718" xr:uid="{00000000-0005-0000-0000-000091400000}"/>
    <cellStyle name="Heading 1 7" xfId="12355" xr:uid="{00000000-0005-0000-0000-000092400000}"/>
    <cellStyle name="Heading 1 7 2" xfId="18742" xr:uid="{00000000-0005-0000-0000-000093400000}"/>
    <cellStyle name="Heading 1 8" xfId="12356" xr:uid="{00000000-0005-0000-0000-000094400000}"/>
    <cellStyle name="Heading 1 8 2" xfId="18682" xr:uid="{00000000-0005-0000-0000-000095400000}"/>
    <cellStyle name="Heading 1 9" xfId="12357" xr:uid="{00000000-0005-0000-0000-000096400000}"/>
    <cellStyle name="Heading 1 9 2" xfId="18884" xr:uid="{00000000-0005-0000-0000-000097400000}"/>
    <cellStyle name="Heading 2 10" xfId="12358" xr:uid="{00000000-0005-0000-0000-000098400000}"/>
    <cellStyle name="Heading 2 10 2" xfId="19050" xr:uid="{00000000-0005-0000-0000-000099400000}"/>
    <cellStyle name="Heading 2 11" xfId="12359" xr:uid="{00000000-0005-0000-0000-00009A400000}"/>
    <cellStyle name="Heading 2 11 2" xfId="19376" xr:uid="{00000000-0005-0000-0000-00009B400000}"/>
    <cellStyle name="Heading 2 12" xfId="12360" xr:uid="{00000000-0005-0000-0000-00009C400000}"/>
    <cellStyle name="Heading 2 12 2" xfId="20024" xr:uid="{00000000-0005-0000-0000-00009D400000}"/>
    <cellStyle name="Heading 2 13" xfId="12361" xr:uid="{00000000-0005-0000-0000-00009E400000}"/>
    <cellStyle name="Heading 2 13 2" xfId="21317" xr:uid="{00000000-0005-0000-0000-00009F400000}"/>
    <cellStyle name="Heading 2 14" xfId="12362" xr:uid="{00000000-0005-0000-0000-0000A0400000}"/>
    <cellStyle name="Heading 2 15" xfId="18596" xr:uid="{00000000-0005-0000-0000-0000A1400000}"/>
    <cellStyle name="Heading 2 2" xfId="12363" xr:uid="{00000000-0005-0000-0000-0000A2400000}"/>
    <cellStyle name="Heading 2 2 2" xfId="18688" xr:uid="{00000000-0005-0000-0000-0000A3400000}"/>
    <cellStyle name="Heading 2 2 3" xfId="18661" xr:uid="{00000000-0005-0000-0000-0000A4400000}"/>
    <cellStyle name="Heading 2 3" xfId="12364" xr:uid="{00000000-0005-0000-0000-0000A5400000}"/>
    <cellStyle name="Heading 2 3 2" xfId="18697" xr:uid="{00000000-0005-0000-0000-0000A6400000}"/>
    <cellStyle name="Heading 2 4" xfId="12365" xr:uid="{00000000-0005-0000-0000-0000A7400000}"/>
    <cellStyle name="Heading 2 4 2" xfId="18693" xr:uid="{00000000-0005-0000-0000-0000A8400000}"/>
    <cellStyle name="Heading 2 5" xfId="12366" xr:uid="{00000000-0005-0000-0000-0000A9400000}"/>
    <cellStyle name="Heading 2 5 2" xfId="18705" xr:uid="{00000000-0005-0000-0000-0000AA400000}"/>
    <cellStyle name="Heading 2 6" xfId="12367" xr:uid="{00000000-0005-0000-0000-0000AB400000}"/>
    <cellStyle name="Heading 2 6 2" xfId="18719" xr:uid="{00000000-0005-0000-0000-0000AC400000}"/>
    <cellStyle name="Heading 2 7" xfId="12368" xr:uid="{00000000-0005-0000-0000-0000AD400000}"/>
    <cellStyle name="Heading 2 7 2" xfId="18743" xr:uid="{00000000-0005-0000-0000-0000AE400000}"/>
    <cellStyle name="Heading 2 8" xfId="12369" xr:uid="{00000000-0005-0000-0000-0000AF400000}"/>
    <cellStyle name="Heading 2 8 2" xfId="18683" xr:uid="{00000000-0005-0000-0000-0000B0400000}"/>
    <cellStyle name="Heading 2 9" xfId="12370" xr:uid="{00000000-0005-0000-0000-0000B1400000}"/>
    <cellStyle name="Heading 2 9 2" xfId="18885" xr:uid="{00000000-0005-0000-0000-0000B2400000}"/>
    <cellStyle name="Heading 3 2" xfId="12371" xr:uid="{00000000-0005-0000-0000-0000B3400000}"/>
    <cellStyle name="Heading 3 2 2" xfId="18662" xr:uid="{00000000-0005-0000-0000-0000B4400000}"/>
    <cellStyle name="Heading 3 3" xfId="18597" xr:uid="{00000000-0005-0000-0000-0000B5400000}"/>
    <cellStyle name="Heading 4 2" xfId="12372" xr:uid="{00000000-0005-0000-0000-0000B6400000}"/>
    <cellStyle name="Heading 4 2 2" xfId="18663" xr:uid="{00000000-0005-0000-0000-0000B7400000}"/>
    <cellStyle name="Heading 4 3" xfId="18598" xr:uid="{00000000-0005-0000-0000-0000B8400000}"/>
    <cellStyle name="Hyperlink" xfId="7" builtinId="8"/>
    <cellStyle name="Input 2" xfId="12373" xr:uid="{00000000-0005-0000-0000-0000BA400000}"/>
    <cellStyle name="Input 2 2" xfId="18664" xr:uid="{00000000-0005-0000-0000-0000BB400000}"/>
    <cellStyle name="Input 3" xfId="18602" xr:uid="{00000000-0005-0000-0000-0000BC400000}"/>
    <cellStyle name="Linked Cell 2" xfId="12374" xr:uid="{00000000-0005-0000-0000-0000BD400000}"/>
    <cellStyle name="Linked Cell 2 2" xfId="18665" xr:uid="{00000000-0005-0000-0000-0000BE400000}"/>
    <cellStyle name="Linked Cell 3" xfId="18605" xr:uid="{00000000-0005-0000-0000-0000BF400000}"/>
    <cellStyle name="Neutral 2" xfId="12375" xr:uid="{00000000-0005-0000-0000-0000C0400000}"/>
    <cellStyle name="Neutral 2 2" xfId="18666" xr:uid="{00000000-0005-0000-0000-0000C1400000}"/>
    <cellStyle name="Neutral 3" xfId="18601" xr:uid="{00000000-0005-0000-0000-0000C2400000}"/>
    <cellStyle name="Normal" xfId="0" builtinId="0"/>
    <cellStyle name="Normal 10" xfId="12376" xr:uid="{00000000-0005-0000-0000-0000C4400000}"/>
    <cellStyle name="Normal 10 2" xfId="12377" xr:uid="{00000000-0005-0000-0000-0000C5400000}"/>
    <cellStyle name="Normal 10 2 2" xfId="12378" xr:uid="{00000000-0005-0000-0000-0000C6400000}"/>
    <cellStyle name="Normal 10 2 3" xfId="18798" xr:uid="{00000000-0005-0000-0000-0000C7400000}"/>
    <cellStyle name="Normal 10 3" xfId="12379" xr:uid="{00000000-0005-0000-0000-0000C8400000}"/>
    <cellStyle name="Normal 10 3 2" xfId="18780" xr:uid="{00000000-0005-0000-0000-0000C9400000}"/>
    <cellStyle name="Normal 10 4" xfId="12380" xr:uid="{00000000-0005-0000-0000-0000CA400000}"/>
    <cellStyle name="Normal 10 5" xfId="12381" xr:uid="{00000000-0005-0000-0000-0000CB400000}"/>
    <cellStyle name="Normal 10 6" xfId="18700" xr:uid="{00000000-0005-0000-0000-0000CC400000}"/>
    <cellStyle name="Normal 11" xfId="12382" xr:uid="{00000000-0005-0000-0000-0000CD400000}"/>
    <cellStyle name="Normal 11 10" xfId="12383" xr:uid="{00000000-0005-0000-0000-0000CE400000}"/>
    <cellStyle name="Normal 11 10 2" xfId="12384" xr:uid="{00000000-0005-0000-0000-0000CF400000}"/>
    <cellStyle name="Normal 11 11" xfId="12385" xr:uid="{00000000-0005-0000-0000-0000D0400000}"/>
    <cellStyle name="Normal 11 2" xfId="12386" xr:uid="{00000000-0005-0000-0000-0000D1400000}"/>
    <cellStyle name="Normal 11 2 10" xfId="12387" xr:uid="{00000000-0005-0000-0000-0000D2400000}"/>
    <cellStyle name="Normal 11 2 2" xfId="12388" xr:uid="{00000000-0005-0000-0000-0000D3400000}"/>
    <cellStyle name="Normal 11 2 2 2" xfId="12389" xr:uid="{00000000-0005-0000-0000-0000D4400000}"/>
    <cellStyle name="Normal 11 2 2 2 2" xfId="12390" xr:uid="{00000000-0005-0000-0000-0000D5400000}"/>
    <cellStyle name="Normal 11 2 2 2 2 2" xfId="12391" xr:uid="{00000000-0005-0000-0000-0000D6400000}"/>
    <cellStyle name="Normal 11 2 2 2 2 2 2" xfId="12392" xr:uid="{00000000-0005-0000-0000-0000D7400000}"/>
    <cellStyle name="Normal 11 2 2 2 2 2 2 2" xfId="12393" xr:uid="{00000000-0005-0000-0000-0000D8400000}"/>
    <cellStyle name="Normal 11 2 2 2 2 2 2 2 2" xfId="12394" xr:uid="{00000000-0005-0000-0000-0000D9400000}"/>
    <cellStyle name="Normal 11 2 2 2 2 2 2 2 2 2" xfId="12395" xr:uid="{00000000-0005-0000-0000-0000DA400000}"/>
    <cellStyle name="Normal 11 2 2 2 2 2 2 2 2 2 2" xfId="12396" xr:uid="{00000000-0005-0000-0000-0000DB400000}"/>
    <cellStyle name="Normal 11 2 2 2 2 2 2 2 2 3" xfId="12397" xr:uid="{00000000-0005-0000-0000-0000DC400000}"/>
    <cellStyle name="Normal 11 2 2 2 2 2 2 2 3" xfId="12398" xr:uid="{00000000-0005-0000-0000-0000DD400000}"/>
    <cellStyle name="Normal 11 2 2 2 2 2 2 2 3 2" xfId="12399" xr:uid="{00000000-0005-0000-0000-0000DE400000}"/>
    <cellStyle name="Normal 11 2 2 2 2 2 2 2 4" xfId="12400" xr:uid="{00000000-0005-0000-0000-0000DF400000}"/>
    <cellStyle name="Normal 11 2 2 2 2 2 2 3" xfId="12401" xr:uid="{00000000-0005-0000-0000-0000E0400000}"/>
    <cellStyle name="Normal 11 2 2 2 2 2 2 3 2" xfId="12402" xr:uid="{00000000-0005-0000-0000-0000E1400000}"/>
    <cellStyle name="Normal 11 2 2 2 2 2 2 3 2 2" xfId="12403" xr:uid="{00000000-0005-0000-0000-0000E2400000}"/>
    <cellStyle name="Normal 11 2 2 2 2 2 2 3 3" xfId="12404" xr:uid="{00000000-0005-0000-0000-0000E3400000}"/>
    <cellStyle name="Normal 11 2 2 2 2 2 2 4" xfId="12405" xr:uid="{00000000-0005-0000-0000-0000E4400000}"/>
    <cellStyle name="Normal 11 2 2 2 2 2 2 4 2" xfId="12406" xr:uid="{00000000-0005-0000-0000-0000E5400000}"/>
    <cellStyle name="Normal 11 2 2 2 2 2 2 5" xfId="12407" xr:uid="{00000000-0005-0000-0000-0000E6400000}"/>
    <cellStyle name="Normal 11 2 2 2 2 2 3" xfId="12408" xr:uid="{00000000-0005-0000-0000-0000E7400000}"/>
    <cellStyle name="Normal 11 2 2 2 2 2 3 2" xfId="12409" xr:uid="{00000000-0005-0000-0000-0000E8400000}"/>
    <cellStyle name="Normal 11 2 2 2 2 2 3 2 2" xfId="12410" xr:uid="{00000000-0005-0000-0000-0000E9400000}"/>
    <cellStyle name="Normal 11 2 2 2 2 2 3 2 2 2" xfId="12411" xr:uid="{00000000-0005-0000-0000-0000EA400000}"/>
    <cellStyle name="Normal 11 2 2 2 2 2 3 2 3" xfId="12412" xr:uid="{00000000-0005-0000-0000-0000EB400000}"/>
    <cellStyle name="Normal 11 2 2 2 2 2 3 3" xfId="12413" xr:uid="{00000000-0005-0000-0000-0000EC400000}"/>
    <cellStyle name="Normal 11 2 2 2 2 2 3 3 2" xfId="12414" xr:uid="{00000000-0005-0000-0000-0000ED400000}"/>
    <cellStyle name="Normal 11 2 2 2 2 2 3 4" xfId="12415" xr:uid="{00000000-0005-0000-0000-0000EE400000}"/>
    <cellStyle name="Normal 11 2 2 2 2 2 4" xfId="12416" xr:uid="{00000000-0005-0000-0000-0000EF400000}"/>
    <cellStyle name="Normal 11 2 2 2 2 2 4 2" xfId="12417" xr:uid="{00000000-0005-0000-0000-0000F0400000}"/>
    <cellStyle name="Normal 11 2 2 2 2 2 4 2 2" xfId="12418" xr:uid="{00000000-0005-0000-0000-0000F1400000}"/>
    <cellStyle name="Normal 11 2 2 2 2 2 4 3" xfId="12419" xr:uid="{00000000-0005-0000-0000-0000F2400000}"/>
    <cellStyle name="Normal 11 2 2 2 2 2 5" xfId="12420" xr:uid="{00000000-0005-0000-0000-0000F3400000}"/>
    <cellStyle name="Normal 11 2 2 2 2 2 5 2" xfId="12421" xr:uid="{00000000-0005-0000-0000-0000F4400000}"/>
    <cellStyle name="Normal 11 2 2 2 2 2 6" xfId="12422" xr:uid="{00000000-0005-0000-0000-0000F5400000}"/>
    <cellStyle name="Normal 11 2 2 2 2 3" xfId="12423" xr:uid="{00000000-0005-0000-0000-0000F6400000}"/>
    <cellStyle name="Normal 11 2 2 2 2 3 2" xfId="12424" xr:uid="{00000000-0005-0000-0000-0000F7400000}"/>
    <cellStyle name="Normal 11 2 2 2 2 3 2 2" xfId="12425" xr:uid="{00000000-0005-0000-0000-0000F8400000}"/>
    <cellStyle name="Normal 11 2 2 2 2 3 2 2 2" xfId="12426" xr:uid="{00000000-0005-0000-0000-0000F9400000}"/>
    <cellStyle name="Normal 11 2 2 2 2 3 2 2 2 2" xfId="12427" xr:uid="{00000000-0005-0000-0000-0000FA400000}"/>
    <cellStyle name="Normal 11 2 2 2 2 3 2 2 3" xfId="12428" xr:uid="{00000000-0005-0000-0000-0000FB400000}"/>
    <cellStyle name="Normal 11 2 2 2 2 3 2 3" xfId="12429" xr:uid="{00000000-0005-0000-0000-0000FC400000}"/>
    <cellStyle name="Normal 11 2 2 2 2 3 2 3 2" xfId="12430" xr:uid="{00000000-0005-0000-0000-0000FD400000}"/>
    <cellStyle name="Normal 11 2 2 2 2 3 2 4" xfId="12431" xr:uid="{00000000-0005-0000-0000-0000FE400000}"/>
    <cellStyle name="Normal 11 2 2 2 2 3 3" xfId="12432" xr:uid="{00000000-0005-0000-0000-0000FF400000}"/>
    <cellStyle name="Normal 11 2 2 2 2 3 3 2" xfId="12433" xr:uid="{00000000-0005-0000-0000-000000410000}"/>
    <cellStyle name="Normal 11 2 2 2 2 3 3 2 2" xfId="12434" xr:uid="{00000000-0005-0000-0000-000001410000}"/>
    <cellStyle name="Normal 11 2 2 2 2 3 3 3" xfId="12435" xr:uid="{00000000-0005-0000-0000-000002410000}"/>
    <cellStyle name="Normal 11 2 2 2 2 3 4" xfId="12436" xr:uid="{00000000-0005-0000-0000-000003410000}"/>
    <cellStyle name="Normal 11 2 2 2 2 3 4 2" xfId="12437" xr:uid="{00000000-0005-0000-0000-000004410000}"/>
    <cellStyle name="Normal 11 2 2 2 2 3 5" xfId="12438" xr:uid="{00000000-0005-0000-0000-000005410000}"/>
    <cellStyle name="Normal 11 2 2 2 2 4" xfId="12439" xr:uid="{00000000-0005-0000-0000-000006410000}"/>
    <cellStyle name="Normal 11 2 2 2 2 4 2" xfId="12440" xr:uid="{00000000-0005-0000-0000-000007410000}"/>
    <cellStyle name="Normal 11 2 2 2 2 4 2 2" xfId="12441" xr:uid="{00000000-0005-0000-0000-000008410000}"/>
    <cellStyle name="Normal 11 2 2 2 2 4 2 2 2" xfId="12442" xr:uid="{00000000-0005-0000-0000-000009410000}"/>
    <cellStyle name="Normal 11 2 2 2 2 4 2 3" xfId="12443" xr:uid="{00000000-0005-0000-0000-00000A410000}"/>
    <cellStyle name="Normal 11 2 2 2 2 4 3" xfId="12444" xr:uid="{00000000-0005-0000-0000-00000B410000}"/>
    <cellStyle name="Normal 11 2 2 2 2 4 3 2" xfId="12445" xr:uid="{00000000-0005-0000-0000-00000C410000}"/>
    <cellStyle name="Normal 11 2 2 2 2 4 4" xfId="12446" xr:uid="{00000000-0005-0000-0000-00000D410000}"/>
    <cellStyle name="Normal 11 2 2 2 2 5" xfId="12447" xr:uid="{00000000-0005-0000-0000-00000E410000}"/>
    <cellStyle name="Normal 11 2 2 2 2 5 2" xfId="12448" xr:uid="{00000000-0005-0000-0000-00000F410000}"/>
    <cellStyle name="Normal 11 2 2 2 2 5 2 2" xfId="12449" xr:uid="{00000000-0005-0000-0000-000010410000}"/>
    <cellStyle name="Normal 11 2 2 2 2 5 3" xfId="12450" xr:uid="{00000000-0005-0000-0000-000011410000}"/>
    <cellStyle name="Normal 11 2 2 2 2 6" xfId="12451" xr:uid="{00000000-0005-0000-0000-000012410000}"/>
    <cellStyle name="Normal 11 2 2 2 2 6 2" xfId="12452" xr:uid="{00000000-0005-0000-0000-000013410000}"/>
    <cellStyle name="Normal 11 2 2 2 2 7" xfId="12453" xr:uid="{00000000-0005-0000-0000-000014410000}"/>
    <cellStyle name="Normal 11 2 2 2 3" xfId="12454" xr:uid="{00000000-0005-0000-0000-000015410000}"/>
    <cellStyle name="Normal 11 2 2 2 3 2" xfId="12455" xr:uid="{00000000-0005-0000-0000-000016410000}"/>
    <cellStyle name="Normal 11 2 2 2 3 2 2" xfId="12456" xr:uid="{00000000-0005-0000-0000-000017410000}"/>
    <cellStyle name="Normal 11 2 2 2 3 2 2 2" xfId="12457" xr:uid="{00000000-0005-0000-0000-000018410000}"/>
    <cellStyle name="Normal 11 2 2 2 3 2 2 2 2" xfId="12458" xr:uid="{00000000-0005-0000-0000-000019410000}"/>
    <cellStyle name="Normal 11 2 2 2 3 2 2 2 2 2" xfId="12459" xr:uid="{00000000-0005-0000-0000-00001A410000}"/>
    <cellStyle name="Normal 11 2 2 2 3 2 2 2 3" xfId="12460" xr:uid="{00000000-0005-0000-0000-00001B410000}"/>
    <cellStyle name="Normal 11 2 2 2 3 2 2 3" xfId="12461" xr:uid="{00000000-0005-0000-0000-00001C410000}"/>
    <cellStyle name="Normal 11 2 2 2 3 2 2 3 2" xfId="12462" xr:uid="{00000000-0005-0000-0000-00001D410000}"/>
    <cellStyle name="Normal 11 2 2 2 3 2 2 4" xfId="12463" xr:uid="{00000000-0005-0000-0000-00001E410000}"/>
    <cellStyle name="Normal 11 2 2 2 3 2 3" xfId="12464" xr:uid="{00000000-0005-0000-0000-00001F410000}"/>
    <cellStyle name="Normal 11 2 2 2 3 2 3 2" xfId="12465" xr:uid="{00000000-0005-0000-0000-000020410000}"/>
    <cellStyle name="Normal 11 2 2 2 3 2 3 2 2" xfId="12466" xr:uid="{00000000-0005-0000-0000-000021410000}"/>
    <cellStyle name="Normal 11 2 2 2 3 2 3 3" xfId="12467" xr:uid="{00000000-0005-0000-0000-000022410000}"/>
    <cellStyle name="Normal 11 2 2 2 3 2 4" xfId="12468" xr:uid="{00000000-0005-0000-0000-000023410000}"/>
    <cellStyle name="Normal 11 2 2 2 3 2 4 2" xfId="12469" xr:uid="{00000000-0005-0000-0000-000024410000}"/>
    <cellStyle name="Normal 11 2 2 2 3 2 5" xfId="12470" xr:uid="{00000000-0005-0000-0000-000025410000}"/>
    <cellStyle name="Normal 11 2 2 2 3 3" xfId="12471" xr:uid="{00000000-0005-0000-0000-000026410000}"/>
    <cellStyle name="Normal 11 2 2 2 3 3 2" xfId="12472" xr:uid="{00000000-0005-0000-0000-000027410000}"/>
    <cellStyle name="Normal 11 2 2 2 3 3 2 2" xfId="12473" xr:uid="{00000000-0005-0000-0000-000028410000}"/>
    <cellStyle name="Normal 11 2 2 2 3 3 2 2 2" xfId="12474" xr:uid="{00000000-0005-0000-0000-000029410000}"/>
    <cellStyle name="Normal 11 2 2 2 3 3 2 3" xfId="12475" xr:uid="{00000000-0005-0000-0000-00002A410000}"/>
    <cellStyle name="Normal 11 2 2 2 3 3 3" xfId="12476" xr:uid="{00000000-0005-0000-0000-00002B410000}"/>
    <cellStyle name="Normal 11 2 2 2 3 3 3 2" xfId="12477" xr:uid="{00000000-0005-0000-0000-00002C410000}"/>
    <cellStyle name="Normal 11 2 2 2 3 3 4" xfId="12478" xr:uid="{00000000-0005-0000-0000-00002D410000}"/>
    <cellStyle name="Normal 11 2 2 2 3 4" xfId="12479" xr:uid="{00000000-0005-0000-0000-00002E410000}"/>
    <cellStyle name="Normal 11 2 2 2 3 4 2" xfId="12480" xr:uid="{00000000-0005-0000-0000-00002F410000}"/>
    <cellStyle name="Normal 11 2 2 2 3 4 2 2" xfId="12481" xr:uid="{00000000-0005-0000-0000-000030410000}"/>
    <cellStyle name="Normal 11 2 2 2 3 4 3" xfId="12482" xr:uid="{00000000-0005-0000-0000-000031410000}"/>
    <cellStyle name="Normal 11 2 2 2 3 5" xfId="12483" xr:uid="{00000000-0005-0000-0000-000032410000}"/>
    <cellStyle name="Normal 11 2 2 2 3 5 2" xfId="12484" xr:uid="{00000000-0005-0000-0000-000033410000}"/>
    <cellStyle name="Normal 11 2 2 2 3 6" xfId="12485" xr:uid="{00000000-0005-0000-0000-000034410000}"/>
    <cellStyle name="Normal 11 2 2 2 4" xfId="12486" xr:uid="{00000000-0005-0000-0000-000035410000}"/>
    <cellStyle name="Normal 11 2 2 2 4 2" xfId="12487" xr:uid="{00000000-0005-0000-0000-000036410000}"/>
    <cellStyle name="Normal 11 2 2 2 4 2 2" xfId="12488" xr:uid="{00000000-0005-0000-0000-000037410000}"/>
    <cellStyle name="Normal 11 2 2 2 4 2 2 2" xfId="12489" xr:uid="{00000000-0005-0000-0000-000038410000}"/>
    <cellStyle name="Normal 11 2 2 2 4 2 2 2 2" xfId="12490" xr:uid="{00000000-0005-0000-0000-000039410000}"/>
    <cellStyle name="Normal 11 2 2 2 4 2 2 3" xfId="12491" xr:uid="{00000000-0005-0000-0000-00003A410000}"/>
    <cellStyle name="Normal 11 2 2 2 4 2 3" xfId="12492" xr:uid="{00000000-0005-0000-0000-00003B410000}"/>
    <cellStyle name="Normal 11 2 2 2 4 2 3 2" xfId="12493" xr:uid="{00000000-0005-0000-0000-00003C410000}"/>
    <cellStyle name="Normal 11 2 2 2 4 2 4" xfId="12494" xr:uid="{00000000-0005-0000-0000-00003D410000}"/>
    <cellStyle name="Normal 11 2 2 2 4 3" xfId="12495" xr:uid="{00000000-0005-0000-0000-00003E410000}"/>
    <cellStyle name="Normal 11 2 2 2 4 3 2" xfId="12496" xr:uid="{00000000-0005-0000-0000-00003F410000}"/>
    <cellStyle name="Normal 11 2 2 2 4 3 2 2" xfId="12497" xr:uid="{00000000-0005-0000-0000-000040410000}"/>
    <cellStyle name="Normal 11 2 2 2 4 3 3" xfId="12498" xr:uid="{00000000-0005-0000-0000-000041410000}"/>
    <cellStyle name="Normal 11 2 2 2 4 4" xfId="12499" xr:uid="{00000000-0005-0000-0000-000042410000}"/>
    <cellStyle name="Normal 11 2 2 2 4 4 2" xfId="12500" xr:uid="{00000000-0005-0000-0000-000043410000}"/>
    <cellStyle name="Normal 11 2 2 2 4 5" xfId="12501" xr:uid="{00000000-0005-0000-0000-000044410000}"/>
    <cellStyle name="Normal 11 2 2 2 5" xfId="12502" xr:uid="{00000000-0005-0000-0000-000045410000}"/>
    <cellStyle name="Normal 11 2 2 2 5 2" xfId="12503" xr:uid="{00000000-0005-0000-0000-000046410000}"/>
    <cellStyle name="Normal 11 2 2 2 5 2 2" xfId="12504" xr:uid="{00000000-0005-0000-0000-000047410000}"/>
    <cellStyle name="Normal 11 2 2 2 5 2 2 2" xfId="12505" xr:uid="{00000000-0005-0000-0000-000048410000}"/>
    <cellStyle name="Normal 11 2 2 2 5 2 3" xfId="12506" xr:uid="{00000000-0005-0000-0000-000049410000}"/>
    <cellStyle name="Normal 11 2 2 2 5 3" xfId="12507" xr:uid="{00000000-0005-0000-0000-00004A410000}"/>
    <cellStyle name="Normal 11 2 2 2 5 3 2" xfId="12508" xr:uid="{00000000-0005-0000-0000-00004B410000}"/>
    <cellStyle name="Normal 11 2 2 2 5 4" xfId="12509" xr:uid="{00000000-0005-0000-0000-00004C410000}"/>
    <cellStyle name="Normal 11 2 2 2 6" xfId="12510" xr:uid="{00000000-0005-0000-0000-00004D410000}"/>
    <cellStyle name="Normal 11 2 2 2 6 2" xfId="12511" xr:uid="{00000000-0005-0000-0000-00004E410000}"/>
    <cellStyle name="Normal 11 2 2 2 6 2 2" xfId="12512" xr:uid="{00000000-0005-0000-0000-00004F410000}"/>
    <cellStyle name="Normal 11 2 2 2 6 3" xfId="12513" xr:uid="{00000000-0005-0000-0000-000050410000}"/>
    <cellStyle name="Normal 11 2 2 2 7" xfId="12514" xr:uid="{00000000-0005-0000-0000-000051410000}"/>
    <cellStyle name="Normal 11 2 2 2 7 2" xfId="12515" xr:uid="{00000000-0005-0000-0000-000052410000}"/>
    <cellStyle name="Normal 11 2 2 2 8" xfId="12516" xr:uid="{00000000-0005-0000-0000-000053410000}"/>
    <cellStyle name="Normal 11 2 2 3" xfId="12517" xr:uid="{00000000-0005-0000-0000-000054410000}"/>
    <cellStyle name="Normal 11 2 2 3 2" xfId="12518" xr:uid="{00000000-0005-0000-0000-000055410000}"/>
    <cellStyle name="Normal 11 2 2 3 2 2" xfId="12519" xr:uid="{00000000-0005-0000-0000-000056410000}"/>
    <cellStyle name="Normal 11 2 2 3 2 2 2" xfId="12520" xr:uid="{00000000-0005-0000-0000-000057410000}"/>
    <cellStyle name="Normal 11 2 2 3 2 2 2 2" xfId="12521" xr:uid="{00000000-0005-0000-0000-000058410000}"/>
    <cellStyle name="Normal 11 2 2 3 2 2 2 2 2" xfId="12522" xr:uid="{00000000-0005-0000-0000-000059410000}"/>
    <cellStyle name="Normal 11 2 2 3 2 2 2 2 2 2" xfId="12523" xr:uid="{00000000-0005-0000-0000-00005A410000}"/>
    <cellStyle name="Normal 11 2 2 3 2 2 2 2 3" xfId="12524" xr:uid="{00000000-0005-0000-0000-00005B410000}"/>
    <cellStyle name="Normal 11 2 2 3 2 2 2 3" xfId="12525" xr:uid="{00000000-0005-0000-0000-00005C410000}"/>
    <cellStyle name="Normal 11 2 2 3 2 2 2 3 2" xfId="12526" xr:uid="{00000000-0005-0000-0000-00005D410000}"/>
    <cellStyle name="Normal 11 2 2 3 2 2 2 4" xfId="12527" xr:uid="{00000000-0005-0000-0000-00005E410000}"/>
    <cellStyle name="Normal 11 2 2 3 2 2 3" xfId="12528" xr:uid="{00000000-0005-0000-0000-00005F410000}"/>
    <cellStyle name="Normal 11 2 2 3 2 2 3 2" xfId="12529" xr:uid="{00000000-0005-0000-0000-000060410000}"/>
    <cellStyle name="Normal 11 2 2 3 2 2 3 2 2" xfId="12530" xr:uid="{00000000-0005-0000-0000-000061410000}"/>
    <cellStyle name="Normal 11 2 2 3 2 2 3 3" xfId="12531" xr:uid="{00000000-0005-0000-0000-000062410000}"/>
    <cellStyle name="Normal 11 2 2 3 2 2 4" xfId="12532" xr:uid="{00000000-0005-0000-0000-000063410000}"/>
    <cellStyle name="Normal 11 2 2 3 2 2 4 2" xfId="12533" xr:uid="{00000000-0005-0000-0000-000064410000}"/>
    <cellStyle name="Normal 11 2 2 3 2 2 5" xfId="12534" xr:uid="{00000000-0005-0000-0000-000065410000}"/>
    <cellStyle name="Normal 11 2 2 3 2 3" xfId="12535" xr:uid="{00000000-0005-0000-0000-000066410000}"/>
    <cellStyle name="Normal 11 2 2 3 2 3 2" xfId="12536" xr:uid="{00000000-0005-0000-0000-000067410000}"/>
    <cellStyle name="Normal 11 2 2 3 2 3 2 2" xfId="12537" xr:uid="{00000000-0005-0000-0000-000068410000}"/>
    <cellStyle name="Normal 11 2 2 3 2 3 2 2 2" xfId="12538" xr:uid="{00000000-0005-0000-0000-000069410000}"/>
    <cellStyle name="Normal 11 2 2 3 2 3 2 3" xfId="12539" xr:uid="{00000000-0005-0000-0000-00006A410000}"/>
    <cellStyle name="Normal 11 2 2 3 2 3 3" xfId="12540" xr:uid="{00000000-0005-0000-0000-00006B410000}"/>
    <cellStyle name="Normal 11 2 2 3 2 3 3 2" xfId="12541" xr:uid="{00000000-0005-0000-0000-00006C410000}"/>
    <cellStyle name="Normal 11 2 2 3 2 3 4" xfId="12542" xr:uid="{00000000-0005-0000-0000-00006D410000}"/>
    <cellStyle name="Normal 11 2 2 3 2 4" xfId="12543" xr:uid="{00000000-0005-0000-0000-00006E410000}"/>
    <cellStyle name="Normal 11 2 2 3 2 4 2" xfId="12544" xr:uid="{00000000-0005-0000-0000-00006F410000}"/>
    <cellStyle name="Normal 11 2 2 3 2 4 2 2" xfId="12545" xr:uid="{00000000-0005-0000-0000-000070410000}"/>
    <cellStyle name="Normal 11 2 2 3 2 4 3" xfId="12546" xr:uid="{00000000-0005-0000-0000-000071410000}"/>
    <cellStyle name="Normal 11 2 2 3 2 5" xfId="12547" xr:uid="{00000000-0005-0000-0000-000072410000}"/>
    <cellStyle name="Normal 11 2 2 3 2 5 2" xfId="12548" xr:uid="{00000000-0005-0000-0000-000073410000}"/>
    <cellStyle name="Normal 11 2 2 3 2 6" xfId="12549" xr:uid="{00000000-0005-0000-0000-000074410000}"/>
    <cellStyle name="Normal 11 2 2 3 3" xfId="12550" xr:uid="{00000000-0005-0000-0000-000075410000}"/>
    <cellStyle name="Normal 11 2 2 3 3 2" xfId="12551" xr:uid="{00000000-0005-0000-0000-000076410000}"/>
    <cellStyle name="Normal 11 2 2 3 3 2 2" xfId="12552" xr:uid="{00000000-0005-0000-0000-000077410000}"/>
    <cellStyle name="Normal 11 2 2 3 3 2 2 2" xfId="12553" xr:uid="{00000000-0005-0000-0000-000078410000}"/>
    <cellStyle name="Normal 11 2 2 3 3 2 2 2 2" xfId="12554" xr:uid="{00000000-0005-0000-0000-000079410000}"/>
    <cellStyle name="Normal 11 2 2 3 3 2 2 3" xfId="12555" xr:uid="{00000000-0005-0000-0000-00007A410000}"/>
    <cellStyle name="Normal 11 2 2 3 3 2 3" xfId="12556" xr:uid="{00000000-0005-0000-0000-00007B410000}"/>
    <cellStyle name="Normal 11 2 2 3 3 2 3 2" xfId="12557" xr:uid="{00000000-0005-0000-0000-00007C410000}"/>
    <cellStyle name="Normal 11 2 2 3 3 2 4" xfId="12558" xr:uid="{00000000-0005-0000-0000-00007D410000}"/>
    <cellStyle name="Normal 11 2 2 3 3 3" xfId="12559" xr:uid="{00000000-0005-0000-0000-00007E410000}"/>
    <cellStyle name="Normal 11 2 2 3 3 3 2" xfId="12560" xr:uid="{00000000-0005-0000-0000-00007F410000}"/>
    <cellStyle name="Normal 11 2 2 3 3 3 2 2" xfId="12561" xr:uid="{00000000-0005-0000-0000-000080410000}"/>
    <cellStyle name="Normal 11 2 2 3 3 3 3" xfId="12562" xr:uid="{00000000-0005-0000-0000-000081410000}"/>
    <cellStyle name="Normal 11 2 2 3 3 4" xfId="12563" xr:uid="{00000000-0005-0000-0000-000082410000}"/>
    <cellStyle name="Normal 11 2 2 3 3 4 2" xfId="12564" xr:uid="{00000000-0005-0000-0000-000083410000}"/>
    <cellStyle name="Normal 11 2 2 3 3 5" xfId="12565" xr:uid="{00000000-0005-0000-0000-000084410000}"/>
    <cellStyle name="Normal 11 2 2 3 4" xfId="12566" xr:uid="{00000000-0005-0000-0000-000085410000}"/>
    <cellStyle name="Normal 11 2 2 3 4 2" xfId="12567" xr:uid="{00000000-0005-0000-0000-000086410000}"/>
    <cellStyle name="Normal 11 2 2 3 4 2 2" xfId="12568" xr:uid="{00000000-0005-0000-0000-000087410000}"/>
    <cellStyle name="Normal 11 2 2 3 4 2 2 2" xfId="12569" xr:uid="{00000000-0005-0000-0000-000088410000}"/>
    <cellStyle name="Normal 11 2 2 3 4 2 3" xfId="12570" xr:uid="{00000000-0005-0000-0000-000089410000}"/>
    <cellStyle name="Normal 11 2 2 3 4 3" xfId="12571" xr:uid="{00000000-0005-0000-0000-00008A410000}"/>
    <cellStyle name="Normal 11 2 2 3 4 3 2" xfId="12572" xr:uid="{00000000-0005-0000-0000-00008B410000}"/>
    <cellStyle name="Normal 11 2 2 3 4 4" xfId="12573" xr:uid="{00000000-0005-0000-0000-00008C410000}"/>
    <cellStyle name="Normal 11 2 2 3 5" xfId="12574" xr:uid="{00000000-0005-0000-0000-00008D410000}"/>
    <cellStyle name="Normal 11 2 2 3 5 2" xfId="12575" xr:uid="{00000000-0005-0000-0000-00008E410000}"/>
    <cellStyle name="Normal 11 2 2 3 5 2 2" xfId="12576" xr:uid="{00000000-0005-0000-0000-00008F410000}"/>
    <cellStyle name="Normal 11 2 2 3 5 3" xfId="12577" xr:uid="{00000000-0005-0000-0000-000090410000}"/>
    <cellStyle name="Normal 11 2 2 3 6" xfId="12578" xr:uid="{00000000-0005-0000-0000-000091410000}"/>
    <cellStyle name="Normal 11 2 2 3 6 2" xfId="12579" xr:uid="{00000000-0005-0000-0000-000092410000}"/>
    <cellStyle name="Normal 11 2 2 3 7" xfId="12580" xr:uid="{00000000-0005-0000-0000-000093410000}"/>
    <cellStyle name="Normal 11 2 2 4" xfId="12581" xr:uid="{00000000-0005-0000-0000-000094410000}"/>
    <cellStyle name="Normal 11 2 2 4 2" xfId="12582" xr:uid="{00000000-0005-0000-0000-000095410000}"/>
    <cellStyle name="Normal 11 2 2 4 2 2" xfId="12583" xr:uid="{00000000-0005-0000-0000-000096410000}"/>
    <cellStyle name="Normal 11 2 2 4 2 2 2" xfId="12584" xr:uid="{00000000-0005-0000-0000-000097410000}"/>
    <cellStyle name="Normal 11 2 2 4 2 2 2 2" xfId="12585" xr:uid="{00000000-0005-0000-0000-000098410000}"/>
    <cellStyle name="Normal 11 2 2 4 2 2 2 2 2" xfId="12586" xr:uid="{00000000-0005-0000-0000-000099410000}"/>
    <cellStyle name="Normal 11 2 2 4 2 2 2 3" xfId="12587" xr:uid="{00000000-0005-0000-0000-00009A410000}"/>
    <cellStyle name="Normal 11 2 2 4 2 2 3" xfId="12588" xr:uid="{00000000-0005-0000-0000-00009B410000}"/>
    <cellStyle name="Normal 11 2 2 4 2 2 3 2" xfId="12589" xr:uid="{00000000-0005-0000-0000-00009C410000}"/>
    <cellStyle name="Normal 11 2 2 4 2 2 4" xfId="12590" xr:uid="{00000000-0005-0000-0000-00009D410000}"/>
    <cellStyle name="Normal 11 2 2 4 2 3" xfId="12591" xr:uid="{00000000-0005-0000-0000-00009E410000}"/>
    <cellStyle name="Normal 11 2 2 4 2 3 2" xfId="12592" xr:uid="{00000000-0005-0000-0000-00009F410000}"/>
    <cellStyle name="Normal 11 2 2 4 2 3 2 2" xfId="12593" xr:uid="{00000000-0005-0000-0000-0000A0410000}"/>
    <cellStyle name="Normal 11 2 2 4 2 3 3" xfId="12594" xr:uid="{00000000-0005-0000-0000-0000A1410000}"/>
    <cellStyle name="Normal 11 2 2 4 2 4" xfId="12595" xr:uid="{00000000-0005-0000-0000-0000A2410000}"/>
    <cellStyle name="Normal 11 2 2 4 2 4 2" xfId="12596" xr:uid="{00000000-0005-0000-0000-0000A3410000}"/>
    <cellStyle name="Normal 11 2 2 4 2 5" xfId="12597" xr:uid="{00000000-0005-0000-0000-0000A4410000}"/>
    <cellStyle name="Normal 11 2 2 4 3" xfId="12598" xr:uid="{00000000-0005-0000-0000-0000A5410000}"/>
    <cellStyle name="Normal 11 2 2 4 3 2" xfId="12599" xr:uid="{00000000-0005-0000-0000-0000A6410000}"/>
    <cellStyle name="Normal 11 2 2 4 3 2 2" xfId="12600" xr:uid="{00000000-0005-0000-0000-0000A7410000}"/>
    <cellStyle name="Normal 11 2 2 4 3 2 2 2" xfId="12601" xr:uid="{00000000-0005-0000-0000-0000A8410000}"/>
    <cellStyle name="Normal 11 2 2 4 3 2 3" xfId="12602" xr:uid="{00000000-0005-0000-0000-0000A9410000}"/>
    <cellStyle name="Normal 11 2 2 4 3 3" xfId="12603" xr:uid="{00000000-0005-0000-0000-0000AA410000}"/>
    <cellStyle name="Normal 11 2 2 4 3 3 2" xfId="12604" xr:uid="{00000000-0005-0000-0000-0000AB410000}"/>
    <cellStyle name="Normal 11 2 2 4 3 4" xfId="12605" xr:uid="{00000000-0005-0000-0000-0000AC410000}"/>
    <cellStyle name="Normal 11 2 2 4 4" xfId="12606" xr:uid="{00000000-0005-0000-0000-0000AD410000}"/>
    <cellStyle name="Normal 11 2 2 4 4 2" xfId="12607" xr:uid="{00000000-0005-0000-0000-0000AE410000}"/>
    <cellStyle name="Normal 11 2 2 4 4 2 2" xfId="12608" xr:uid="{00000000-0005-0000-0000-0000AF410000}"/>
    <cellStyle name="Normal 11 2 2 4 4 3" xfId="12609" xr:uid="{00000000-0005-0000-0000-0000B0410000}"/>
    <cellStyle name="Normal 11 2 2 4 5" xfId="12610" xr:uid="{00000000-0005-0000-0000-0000B1410000}"/>
    <cellStyle name="Normal 11 2 2 4 5 2" xfId="12611" xr:uid="{00000000-0005-0000-0000-0000B2410000}"/>
    <cellStyle name="Normal 11 2 2 4 6" xfId="12612" xr:uid="{00000000-0005-0000-0000-0000B3410000}"/>
    <cellStyle name="Normal 11 2 2 5" xfId="12613" xr:uid="{00000000-0005-0000-0000-0000B4410000}"/>
    <cellStyle name="Normal 11 2 2 5 2" xfId="12614" xr:uid="{00000000-0005-0000-0000-0000B5410000}"/>
    <cellStyle name="Normal 11 2 2 5 2 2" xfId="12615" xr:uid="{00000000-0005-0000-0000-0000B6410000}"/>
    <cellStyle name="Normal 11 2 2 5 2 2 2" xfId="12616" xr:uid="{00000000-0005-0000-0000-0000B7410000}"/>
    <cellStyle name="Normal 11 2 2 5 2 2 2 2" xfId="12617" xr:uid="{00000000-0005-0000-0000-0000B8410000}"/>
    <cellStyle name="Normal 11 2 2 5 2 2 3" xfId="12618" xr:uid="{00000000-0005-0000-0000-0000B9410000}"/>
    <cellStyle name="Normal 11 2 2 5 2 3" xfId="12619" xr:uid="{00000000-0005-0000-0000-0000BA410000}"/>
    <cellStyle name="Normal 11 2 2 5 2 3 2" xfId="12620" xr:uid="{00000000-0005-0000-0000-0000BB410000}"/>
    <cellStyle name="Normal 11 2 2 5 2 4" xfId="12621" xr:uid="{00000000-0005-0000-0000-0000BC410000}"/>
    <cellStyle name="Normal 11 2 2 5 3" xfId="12622" xr:uid="{00000000-0005-0000-0000-0000BD410000}"/>
    <cellStyle name="Normal 11 2 2 5 3 2" xfId="12623" xr:uid="{00000000-0005-0000-0000-0000BE410000}"/>
    <cellStyle name="Normal 11 2 2 5 3 2 2" xfId="12624" xr:uid="{00000000-0005-0000-0000-0000BF410000}"/>
    <cellStyle name="Normal 11 2 2 5 3 3" xfId="12625" xr:uid="{00000000-0005-0000-0000-0000C0410000}"/>
    <cellStyle name="Normal 11 2 2 5 4" xfId="12626" xr:uid="{00000000-0005-0000-0000-0000C1410000}"/>
    <cellStyle name="Normal 11 2 2 5 4 2" xfId="12627" xr:uid="{00000000-0005-0000-0000-0000C2410000}"/>
    <cellStyle name="Normal 11 2 2 5 5" xfId="12628" xr:uid="{00000000-0005-0000-0000-0000C3410000}"/>
    <cellStyle name="Normal 11 2 2 6" xfId="12629" xr:uid="{00000000-0005-0000-0000-0000C4410000}"/>
    <cellStyle name="Normal 11 2 2 6 2" xfId="12630" xr:uid="{00000000-0005-0000-0000-0000C5410000}"/>
    <cellStyle name="Normal 11 2 2 6 2 2" xfId="12631" xr:uid="{00000000-0005-0000-0000-0000C6410000}"/>
    <cellStyle name="Normal 11 2 2 6 2 2 2" xfId="12632" xr:uid="{00000000-0005-0000-0000-0000C7410000}"/>
    <cellStyle name="Normal 11 2 2 6 2 3" xfId="12633" xr:uid="{00000000-0005-0000-0000-0000C8410000}"/>
    <cellStyle name="Normal 11 2 2 6 3" xfId="12634" xr:uid="{00000000-0005-0000-0000-0000C9410000}"/>
    <cellStyle name="Normal 11 2 2 6 3 2" xfId="12635" xr:uid="{00000000-0005-0000-0000-0000CA410000}"/>
    <cellStyle name="Normal 11 2 2 6 4" xfId="12636" xr:uid="{00000000-0005-0000-0000-0000CB410000}"/>
    <cellStyle name="Normal 11 2 2 7" xfId="12637" xr:uid="{00000000-0005-0000-0000-0000CC410000}"/>
    <cellStyle name="Normal 11 2 2 7 2" xfId="12638" xr:uid="{00000000-0005-0000-0000-0000CD410000}"/>
    <cellStyle name="Normal 11 2 2 7 2 2" xfId="12639" xr:uid="{00000000-0005-0000-0000-0000CE410000}"/>
    <cellStyle name="Normal 11 2 2 7 3" xfId="12640" xr:uid="{00000000-0005-0000-0000-0000CF410000}"/>
    <cellStyle name="Normal 11 2 2 8" xfId="12641" xr:uid="{00000000-0005-0000-0000-0000D0410000}"/>
    <cellStyle name="Normal 11 2 2 8 2" xfId="12642" xr:uid="{00000000-0005-0000-0000-0000D1410000}"/>
    <cellStyle name="Normal 11 2 2 9" xfId="12643" xr:uid="{00000000-0005-0000-0000-0000D2410000}"/>
    <cellStyle name="Normal 11 2 3" xfId="12644" xr:uid="{00000000-0005-0000-0000-0000D3410000}"/>
    <cellStyle name="Normal 11 2 3 2" xfId="12645" xr:uid="{00000000-0005-0000-0000-0000D4410000}"/>
    <cellStyle name="Normal 11 2 3 2 2" xfId="12646" xr:uid="{00000000-0005-0000-0000-0000D5410000}"/>
    <cellStyle name="Normal 11 2 3 2 2 2" xfId="12647" xr:uid="{00000000-0005-0000-0000-0000D6410000}"/>
    <cellStyle name="Normal 11 2 3 2 2 2 2" xfId="12648" xr:uid="{00000000-0005-0000-0000-0000D7410000}"/>
    <cellStyle name="Normal 11 2 3 2 2 2 2 2" xfId="12649" xr:uid="{00000000-0005-0000-0000-0000D8410000}"/>
    <cellStyle name="Normal 11 2 3 2 2 2 2 2 2" xfId="12650" xr:uid="{00000000-0005-0000-0000-0000D9410000}"/>
    <cellStyle name="Normal 11 2 3 2 2 2 2 2 2 2" xfId="12651" xr:uid="{00000000-0005-0000-0000-0000DA410000}"/>
    <cellStyle name="Normal 11 2 3 2 2 2 2 2 3" xfId="12652" xr:uid="{00000000-0005-0000-0000-0000DB410000}"/>
    <cellStyle name="Normal 11 2 3 2 2 2 2 3" xfId="12653" xr:uid="{00000000-0005-0000-0000-0000DC410000}"/>
    <cellStyle name="Normal 11 2 3 2 2 2 2 3 2" xfId="12654" xr:uid="{00000000-0005-0000-0000-0000DD410000}"/>
    <cellStyle name="Normal 11 2 3 2 2 2 2 4" xfId="12655" xr:uid="{00000000-0005-0000-0000-0000DE410000}"/>
    <cellStyle name="Normal 11 2 3 2 2 2 3" xfId="12656" xr:uid="{00000000-0005-0000-0000-0000DF410000}"/>
    <cellStyle name="Normal 11 2 3 2 2 2 3 2" xfId="12657" xr:uid="{00000000-0005-0000-0000-0000E0410000}"/>
    <cellStyle name="Normal 11 2 3 2 2 2 3 2 2" xfId="12658" xr:uid="{00000000-0005-0000-0000-0000E1410000}"/>
    <cellStyle name="Normal 11 2 3 2 2 2 3 3" xfId="12659" xr:uid="{00000000-0005-0000-0000-0000E2410000}"/>
    <cellStyle name="Normal 11 2 3 2 2 2 4" xfId="12660" xr:uid="{00000000-0005-0000-0000-0000E3410000}"/>
    <cellStyle name="Normal 11 2 3 2 2 2 4 2" xfId="12661" xr:uid="{00000000-0005-0000-0000-0000E4410000}"/>
    <cellStyle name="Normal 11 2 3 2 2 2 5" xfId="12662" xr:uid="{00000000-0005-0000-0000-0000E5410000}"/>
    <cellStyle name="Normal 11 2 3 2 2 3" xfId="12663" xr:uid="{00000000-0005-0000-0000-0000E6410000}"/>
    <cellStyle name="Normal 11 2 3 2 2 3 2" xfId="12664" xr:uid="{00000000-0005-0000-0000-0000E7410000}"/>
    <cellStyle name="Normal 11 2 3 2 2 3 2 2" xfId="12665" xr:uid="{00000000-0005-0000-0000-0000E8410000}"/>
    <cellStyle name="Normal 11 2 3 2 2 3 2 2 2" xfId="12666" xr:uid="{00000000-0005-0000-0000-0000E9410000}"/>
    <cellStyle name="Normal 11 2 3 2 2 3 2 3" xfId="12667" xr:uid="{00000000-0005-0000-0000-0000EA410000}"/>
    <cellStyle name="Normal 11 2 3 2 2 3 3" xfId="12668" xr:uid="{00000000-0005-0000-0000-0000EB410000}"/>
    <cellStyle name="Normal 11 2 3 2 2 3 3 2" xfId="12669" xr:uid="{00000000-0005-0000-0000-0000EC410000}"/>
    <cellStyle name="Normal 11 2 3 2 2 3 4" xfId="12670" xr:uid="{00000000-0005-0000-0000-0000ED410000}"/>
    <cellStyle name="Normal 11 2 3 2 2 4" xfId="12671" xr:uid="{00000000-0005-0000-0000-0000EE410000}"/>
    <cellStyle name="Normal 11 2 3 2 2 4 2" xfId="12672" xr:uid="{00000000-0005-0000-0000-0000EF410000}"/>
    <cellStyle name="Normal 11 2 3 2 2 4 2 2" xfId="12673" xr:uid="{00000000-0005-0000-0000-0000F0410000}"/>
    <cellStyle name="Normal 11 2 3 2 2 4 3" xfId="12674" xr:uid="{00000000-0005-0000-0000-0000F1410000}"/>
    <cellStyle name="Normal 11 2 3 2 2 5" xfId="12675" xr:uid="{00000000-0005-0000-0000-0000F2410000}"/>
    <cellStyle name="Normal 11 2 3 2 2 5 2" xfId="12676" xr:uid="{00000000-0005-0000-0000-0000F3410000}"/>
    <cellStyle name="Normal 11 2 3 2 2 6" xfId="12677" xr:uid="{00000000-0005-0000-0000-0000F4410000}"/>
    <cellStyle name="Normal 11 2 3 2 3" xfId="12678" xr:uid="{00000000-0005-0000-0000-0000F5410000}"/>
    <cellStyle name="Normal 11 2 3 2 3 2" xfId="12679" xr:uid="{00000000-0005-0000-0000-0000F6410000}"/>
    <cellStyle name="Normal 11 2 3 2 3 2 2" xfId="12680" xr:uid="{00000000-0005-0000-0000-0000F7410000}"/>
    <cellStyle name="Normal 11 2 3 2 3 2 2 2" xfId="12681" xr:uid="{00000000-0005-0000-0000-0000F8410000}"/>
    <cellStyle name="Normal 11 2 3 2 3 2 2 2 2" xfId="12682" xr:uid="{00000000-0005-0000-0000-0000F9410000}"/>
    <cellStyle name="Normal 11 2 3 2 3 2 2 3" xfId="12683" xr:uid="{00000000-0005-0000-0000-0000FA410000}"/>
    <cellStyle name="Normal 11 2 3 2 3 2 3" xfId="12684" xr:uid="{00000000-0005-0000-0000-0000FB410000}"/>
    <cellStyle name="Normal 11 2 3 2 3 2 3 2" xfId="12685" xr:uid="{00000000-0005-0000-0000-0000FC410000}"/>
    <cellStyle name="Normal 11 2 3 2 3 2 4" xfId="12686" xr:uid="{00000000-0005-0000-0000-0000FD410000}"/>
    <cellStyle name="Normal 11 2 3 2 3 3" xfId="12687" xr:uid="{00000000-0005-0000-0000-0000FE410000}"/>
    <cellStyle name="Normal 11 2 3 2 3 3 2" xfId="12688" xr:uid="{00000000-0005-0000-0000-0000FF410000}"/>
    <cellStyle name="Normal 11 2 3 2 3 3 2 2" xfId="12689" xr:uid="{00000000-0005-0000-0000-000000420000}"/>
    <cellStyle name="Normal 11 2 3 2 3 3 3" xfId="12690" xr:uid="{00000000-0005-0000-0000-000001420000}"/>
    <cellStyle name="Normal 11 2 3 2 3 4" xfId="12691" xr:uid="{00000000-0005-0000-0000-000002420000}"/>
    <cellStyle name="Normal 11 2 3 2 3 4 2" xfId="12692" xr:uid="{00000000-0005-0000-0000-000003420000}"/>
    <cellStyle name="Normal 11 2 3 2 3 5" xfId="12693" xr:uid="{00000000-0005-0000-0000-000004420000}"/>
    <cellStyle name="Normal 11 2 3 2 4" xfId="12694" xr:uid="{00000000-0005-0000-0000-000005420000}"/>
    <cellStyle name="Normal 11 2 3 2 4 2" xfId="12695" xr:uid="{00000000-0005-0000-0000-000006420000}"/>
    <cellStyle name="Normal 11 2 3 2 4 2 2" xfId="12696" xr:uid="{00000000-0005-0000-0000-000007420000}"/>
    <cellStyle name="Normal 11 2 3 2 4 2 2 2" xfId="12697" xr:uid="{00000000-0005-0000-0000-000008420000}"/>
    <cellStyle name="Normal 11 2 3 2 4 2 3" xfId="12698" xr:uid="{00000000-0005-0000-0000-000009420000}"/>
    <cellStyle name="Normal 11 2 3 2 4 3" xfId="12699" xr:uid="{00000000-0005-0000-0000-00000A420000}"/>
    <cellStyle name="Normal 11 2 3 2 4 3 2" xfId="12700" xr:uid="{00000000-0005-0000-0000-00000B420000}"/>
    <cellStyle name="Normal 11 2 3 2 4 4" xfId="12701" xr:uid="{00000000-0005-0000-0000-00000C420000}"/>
    <cellStyle name="Normal 11 2 3 2 5" xfId="12702" xr:uid="{00000000-0005-0000-0000-00000D420000}"/>
    <cellStyle name="Normal 11 2 3 2 5 2" xfId="12703" xr:uid="{00000000-0005-0000-0000-00000E420000}"/>
    <cellStyle name="Normal 11 2 3 2 5 2 2" xfId="12704" xr:uid="{00000000-0005-0000-0000-00000F420000}"/>
    <cellStyle name="Normal 11 2 3 2 5 3" xfId="12705" xr:uid="{00000000-0005-0000-0000-000010420000}"/>
    <cellStyle name="Normal 11 2 3 2 6" xfId="12706" xr:uid="{00000000-0005-0000-0000-000011420000}"/>
    <cellStyle name="Normal 11 2 3 2 6 2" xfId="12707" xr:uid="{00000000-0005-0000-0000-000012420000}"/>
    <cellStyle name="Normal 11 2 3 2 7" xfId="12708" xr:uid="{00000000-0005-0000-0000-000013420000}"/>
    <cellStyle name="Normal 11 2 3 3" xfId="12709" xr:uid="{00000000-0005-0000-0000-000014420000}"/>
    <cellStyle name="Normal 11 2 3 3 2" xfId="12710" xr:uid="{00000000-0005-0000-0000-000015420000}"/>
    <cellStyle name="Normal 11 2 3 3 2 2" xfId="12711" xr:uid="{00000000-0005-0000-0000-000016420000}"/>
    <cellStyle name="Normal 11 2 3 3 2 2 2" xfId="12712" xr:uid="{00000000-0005-0000-0000-000017420000}"/>
    <cellStyle name="Normal 11 2 3 3 2 2 2 2" xfId="12713" xr:uid="{00000000-0005-0000-0000-000018420000}"/>
    <cellStyle name="Normal 11 2 3 3 2 2 2 2 2" xfId="12714" xr:uid="{00000000-0005-0000-0000-000019420000}"/>
    <cellStyle name="Normal 11 2 3 3 2 2 2 3" xfId="12715" xr:uid="{00000000-0005-0000-0000-00001A420000}"/>
    <cellStyle name="Normal 11 2 3 3 2 2 3" xfId="12716" xr:uid="{00000000-0005-0000-0000-00001B420000}"/>
    <cellStyle name="Normal 11 2 3 3 2 2 3 2" xfId="12717" xr:uid="{00000000-0005-0000-0000-00001C420000}"/>
    <cellStyle name="Normal 11 2 3 3 2 2 4" xfId="12718" xr:uid="{00000000-0005-0000-0000-00001D420000}"/>
    <cellStyle name="Normal 11 2 3 3 2 3" xfId="12719" xr:uid="{00000000-0005-0000-0000-00001E420000}"/>
    <cellStyle name="Normal 11 2 3 3 2 3 2" xfId="12720" xr:uid="{00000000-0005-0000-0000-00001F420000}"/>
    <cellStyle name="Normal 11 2 3 3 2 3 2 2" xfId="12721" xr:uid="{00000000-0005-0000-0000-000020420000}"/>
    <cellStyle name="Normal 11 2 3 3 2 3 3" xfId="12722" xr:uid="{00000000-0005-0000-0000-000021420000}"/>
    <cellStyle name="Normal 11 2 3 3 2 4" xfId="12723" xr:uid="{00000000-0005-0000-0000-000022420000}"/>
    <cellStyle name="Normal 11 2 3 3 2 4 2" xfId="12724" xr:uid="{00000000-0005-0000-0000-000023420000}"/>
    <cellStyle name="Normal 11 2 3 3 2 5" xfId="12725" xr:uid="{00000000-0005-0000-0000-000024420000}"/>
    <cellStyle name="Normal 11 2 3 3 3" xfId="12726" xr:uid="{00000000-0005-0000-0000-000025420000}"/>
    <cellStyle name="Normal 11 2 3 3 3 2" xfId="12727" xr:uid="{00000000-0005-0000-0000-000026420000}"/>
    <cellStyle name="Normal 11 2 3 3 3 2 2" xfId="12728" xr:uid="{00000000-0005-0000-0000-000027420000}"/>
    <cellStyle name="Normal 11 2 3 3 3 2 2 2" xfId="12729" xr:uid="{00000000-0005-0000-0000-000028420000}"/>
    <cellStyle name="Normal 11 2 3 3 3 2 3" xfId="12730" xr:uid="{00000000-0005-0000-0000-000029420000}"/>
    <cellStyle name="Normal 11 2 3 3 3 3" xfId="12731" xr:uid="{00000000-0005-0000-0000-00002A420000}"/>
    <cellStyle name="Normal 11 2 3 3 3 3 2" xfId="12732" xr:uid="{00000000-0005-0000-0000-00002B420000}"/>
    <cellStyle name="Normal 11 2 3 3 3 4" xfId="12733" xr:uid="{00000000-0005-0000-0000-00002C420000}"/>
    <cellStyle name="Normal 11 2 3 3 4" xfId="12734" xr:uid="{00000000-0005-0000-0000-00002D420000}"/>
    <cellStyle name="Normal 11 2 3 3 4 2" xfId="12735" xr:uid="{00000000-0005-0000-0000-00002E420000}"/>
    <cellStyle name="Normal 11 2 3 3 4 2 2" xfId="12736" xr:uid="{00000000-0005-0000-0000-00002F420000}"/>
    <cellStyle name="Normal 11 2 3 3 4 3" xfId="12737" xr:uid="{00000000-0005-0000-0000-000030420000}"/>
    <cellStyle name="Normal 11 2 3 3 5" xfId="12738" xr:uid="{00000000-0005-0000-0000-000031420000}"/>
    <cellStyle name="Normal 11 2 3 3 5 2" xfId="12739" xr:uid="{00000000-0005-0000-0000-000032420000}"/>
    <cellStyle name="Normal 11 2 3 3 6" xfId="12740" xr:uid="{00000000-0005-0000-0000-000033420000}"/>
    <cellStyle name="Normal 11 2 3 4" xfId="12741" xr:uid="{00000000-0005-0000-0000-000034420000}"/>
    <cellStyle name="Normal 11 2 3 4 2" xfId="12742" xr:uid="{00000000-0005-0000-0000-000035420000}"/>
    <cellStyle name="Normal 11 2 3 4 2 2" xfId="12743" xr:uid="{00000000-0005-0000-0000-000036420000}"/>
    <cellStyle name="Normal 11 2 3 4 2 2 2" xfId="12744" xr:uid="{00000000-0005-0000-0000-000037420000}"/>
    <cellStyle name="Normal 11 2 3 4 2 2 2 2" xfId="12745" xr:uid="{00000000-0005-0000-0000-000038420000}"/>
    <cellStyle name="Normal 11 2 3 4 2 2 3" xfId="12746" xr:uid="{00000000-0005-0000-0000-000039420000}"/>
    <cellStyle name="Normal 11 2 3 4 2 3" xfId="12747" xr:uid="{00000000-0005-0000-0000-00003A420000}"/>
    <cellStyle name="Normal 11 2 3 4 2 3 2" xfId="12748" xr:uid="{00000000-0005-0000-0000-00003B420000}"/>
    <cellStyle name="Normal 11 2 3 4 2 4" xfId="12749" xr:uid="{00000000-0005-0000-0000-00003C420000}"/>
    <cellStyle name="Normal 11 2 3 4 3" xfId="12750" xr:uid="{00000000-0005-0000-0000-00003D420000}"/>
    <cellStyle name="Normal 11 2 3 4 3 2" xfId="12751" xr:uid="{00000000-0005-0000-0000-00003E420000}"/>
    <cellStyle name="Normal 11 2 3 4 3 2 2" xfId="12752" xr:uid="{00000000-0005-0000-0000-00003F420000}"/>
    <cellStyle name="Normal 11 2 3 4 3 3" xfId="12753" xr:uid="{00000000-0005-0000-0000-000040420000}"/>
    <cellStyle name="Normal 11 2 3 4 4" xfId="12754" xr:uid="{00000000-0005-0000-0000-000041420000}"/>
    <cellStyle name="Normal 11 2 3 4 4 2" xfId="12755" xr:uid="{00000000-0005-0000-0000-000042420000}"/>
    <cellStyle name="Normal 11 2 3 4 5" xfId="12756" xr:uid="{00000000-0005-0000-0000-000043420000}"/>
    <cellStyle name="Normal 11 2 3 5" xfId="12757" xr:uid="{00000000-0005-0000-0000-000044420000}"/>
    <cellStyle name="Normal 11 2 3 5 2" xfId="12758" xr:uid="{00000000-0005-0000-0000-000045420000}"/>
    <cellStyle name="Normal 11 2 3 5 2 2" xfId="12759" xr:uid="{00000000-0005-0000-0000-000046420000}"/>
    <cellStyle name="Normal 11 2 3 5 2 2 2" xfId="12760" xr:uid="{00000000-0005-0000-0000-000047420000}"/>
    <cellStyle name="Normal 11 2 3 5 2 3" xfId="12761" xr:uid="{00000000-0005-0000-0000-000048420000}"/>
    <cellStyle name="Normal 11 2 3 5 3" xfId="12762" xr:uid="{00000000-0005-0000-0000-000049420000}"/>
    <cellStyle name="Normal 11 2 3 5 3 2" xfId="12763" xr:uid="{00000000-0005-0000-0000-00004A420000}"/>
    <cellStyle name="Normal 11 2 3 5 4" xfId="12764" xr:uid="{00000000-0005-0000-0000-00004B420000}"/>
    <cellStyle name="Normal 11 2 3 6" xfId="12765" xr:uid="{00000000-0005-0000-0000-00004C420000}"/>
    <cellStyle name="Normal 11 2 3 6 2" xfId="12766" xr:uid="{00000000-0005-0000-0000-00004D420000}"/>
    <cellStyle name="Normal 11 2 3 6 2 2" xfId="12767" xr:uid="{00000000-0005-0000-0000-00004E420000}"/>
    <cellStyle name="Normal 11 2 3 6 3" xfId="12768" xr:uid="{00000000-0005-0000-0000-00004F420000}"/>
    <cellStyle name="Normal 11 2 3 7" xfId="12769" xr:uid="{00000000-0005-0000-0000-000050420000}"/>
    <cellStyle name="Normal 11 2 3 7 2" xfId="12770" xr:uid="{00000000-0005-0000-0000-000051420000}"/>
    <cellStyle name="Normal 11 2 3 8" xfId="12771" xr:uid="{00000000-0005-0000-0000-000052420000}"/>
    <cellStyle name="Normal 11 2 4" xfId="12772" xr:uid="{00000000-0005-0000-0000-000053420000}"/>
    <cellStyle name="Normal 11 2 4 2" xfId="12773" xr:uid="{00000000-0005-0000-0000-000054420000}"/>
    <cellStyle name="Normal 11 2 4 2 2" xfId="12774" xr:uid="{00000000-0005-0000-0000-000055420000}"/>
    <cellStyle name="Normal 11 2 4 2 2 2" xfId="12775" xr:uid="{00000000-0005-0000-0000-000056420000}"/>
    <cellStyle name="Normal 11 2 4 2 2 2 2" xfId="12776" xr:uid="{00000000-0005-0000-0000-000057420000}"/>
    <cellStyle name="Normal 11 2 4 2 2 2 2 2" xfId="12777" xr:uid="{00000000-0005-0000-0000-000058420000}"/>
    <cellStyle name="Normal 11 2 4 2 2 2 2 2 2" xfId="12778" xr:uid="{00000000-0005-0000-0000-000059420000}"/>
    <cellStyle name="Normal 11 2 4 2 2 2 2 3" xfId="12779" xr:uid="{00000000-0005-0000-0000-00005A420000}"/>
    <cellStyle name="Normal 11 2 4 2 2 2 3" xfId="12780" xr:uid="{00000000-0005-0000-0000-00005B420000}"/>
    <cellStyle name="Normal 11 2 4 2 2 2 3 2" xfId="12781" xr:uid="{00000000-0005-0000-0000-00005C420000}"/>
    <cellStyle name="Normal 11 2 4 2 2 2 4" xfId="12782" xr:uid="{00000000-0005-0000-0000-00005D420000}"/>
    <cellStyle name="Normal 11 2 4 2 2 3" xfId="12783" xr:uid="{00000000-0005-0000-0000-00005E420000}"/>
    <cellStyle name="Normal 11 2 4 2 2 3 2" xfId="12784" xr:uid="{00000000-0005-0000-0000-00005F420000}"/>
    <cellStyle name="Normal 11 2 4 2 2 3 2 2" xfId="12785" xr:uid="{00000000-0005-0000-0000-000060420000}"/>
    <cellStyle name="Normal 11 2 4 2 2 3 3" xfId="12786" xr:uid="{00000000-0005-0000-0000-000061420000}"/>
    <cellStyle name="Normal 11 2 4 2 2 4" xfId="12787" xr:uid="{00000000-0005-0000-0000-000062420000}"/>
    <cellStyle name="Normal 11 2 4 2 2 4 2" xfId="12788" xr:uid="{00000000-0005-0000-0000-000063420000}"/>
    <cellStyle name="Normal 11 2 4 2 2 5" xfId="12789" xr:uid="{00000000-0005-0000-0000-000064420000}"/>
    <cellStyle name="Normal 11 2 4 2 3" xfId="12790" xr:uid="{00000000-0005-0000-0000-000065420000}"/>
    <cellStyle name="Normal 11 2 4 2 3 2" xfId="12791" xr:uid="{00000000-0005-0000-0000-000066420000}"/>
    <cellStyle name="Normal 11 2 4 2 3 2 2" xfId="12792" xr:uid="{00000000-0005-0000-0000-000067420000}"/>
    <cellStyle name="Normal 11 2 4 2 3 2 2 2" xfId="12793" xr:uid="{00000000-0005-0000-0000-000068420000}"/>
    <cellStyle name="Normal 11 2 4 2 3 2 3" xfId="12794" xr:uid="{00000000-0005-0000-0000-000069420000}"/>
    <cellStyle name="Normal 11 2 4 2 3 3" xfId="12795" xr:uid="{00000000-0005-0000-0000-00006A420000}"/>
    <cellStyle name="Normal 11 2 4 2 3 3 2" xfId="12796" xr:uid="{00000000-0005-0000-0000-00006B420000}"/>
    <cellStyle name="Normal 11 2 4 2 3 4" xfId="12797" xr:uid="{00000000-0005-0000-0000-00006C420000}"/>
    <cellStyle name="Normal 11 2 4 2 4" xfId="12798" xr:uid="{00000000-0005-0000-0000-00006D420000}"/>
    <cellStyle name="Normal 11 2 4 2 4 2" xfId="12799" xr:uid="{00000000-0005-0000-0000-00006E420000}"/>
    <cellStyle name="Normal 11 2 4 2 4 2 2" xfId="12800" xr:uid="{00000000-0005-0000-0000-00006F420000}"/>
    <cellStyle name="Normal 11 2 4 2 4 3" xfId="12801" xr:uid="{00000000-0005-0000-0000-000070420000}"/>
    <cellStyle name="Normal 11 2 4 2 5" xfId="12802" xr:uid="{00000000-0005-0000-0000-000071420000}"/>
    <cellStyle name="Normal 11 2 4 2 5 2" xfId="12803" xr:uid="{00000000-0005-0000-0000-000072420000}"/>
    <cellStyle name="Normal 11 2 4 2 6" xfId="12804" xr:uid="{00000000-0005-0000-0000-000073420000}"/>
    <cellStyle name="Normal 11 2 4 3" xfId="12805" xr:uid="{00000000-0005-0000-0000-000074420000}"/>
    <cellStyle name="Normal 11 2 4 3 2" xfId="12806" xr:uid="{00000000-0005-0000-0000-000075420000}"/>
    <cellStyle name="Normal 11 2 4 3 2 2" xfId="12807" xr:uid="{00000000-0005-0000-0000-000076420000}"/>
    <cellStyle name="Normal 11 2 4 3 2 2 2" xfId="12808" xr:uid="{00000000-0005-0000-0000-000077420000}"/>
    <cellStyle name="Normal 11 2 4 3 2 2 2 2" xfId="12809" xr:uid="{00000000-0005-0000-0000-000078420000}"/>
    <cellStyle name="Normal 11 2 4 3 2 2 3" xfId="12810" xr:uid="{00000000-0005-0000-0000-000079420000}"/>
    <cellStyle name="Normal 11 2 4 3 2 3" xfId="12811" xr:uid="{00000000-0005-0000-0000-00007A420000}"/>
    <cellStyle name="Normal 11 2 4 3 2 3 2" xfId="12812" xr:uid="{00000000-0005-0000-0000-00007B420000}"/>
    <cellStyle name="Normal 11 2 4 3 2 4" xfId="12813" xr:uid="{00000000-0005-0000-0000-00007C420000}"/>
    <cellStyle name="Normal 11 2 4 3 3" xfId="12814" xr:uid="{00000000-0005-0000-0000-00007D420000}"/>
    <cellStyle name="Normal 11 2 4 3 3 2" xfId="12815" xr:uid="{00000000-0005-0000-0000-00007E420000}"/>
    <cellStyle name="Normal 11 2 4 3 3 2 2" xfId="12816" xr:uid="{00000000-0005-0000-0000-00007F420000}"/>
    <cellStyle name="Normal 11 2 4 3 3 3" xfId="12817" xr:uid="{00000000-0005-0000-0000-000080420000}"/>
    <cellStyle name="Normal 11 2 4 3 4" xfId="12818" xr:uid="{00000000-0005-0000-0000-000081420000}"/>
    <cellStyle name="Normal 11 2 4 3 4 2" xfId="12819" xr:uid="{00000000-0005-0000-0000-000082420000}"/>
    <cellStyle name="Normal 11 2 4 3 5" xfId="12820" xr:uid="{00000000-0005-0000-0000-000083420000}"/>
    <cellStyle name="Normal 11 2 4 4" xfId="12821" xr:uid="{00000000-0005-0000-0000-000084420000}"/>
    <cellStyle name="Normal 11 2 4 4 2" xfId="12822" xr:uid="{00000000-0005-0000-0000-000085420000}"/>
    <cellStyle name="Normal 11 2 4 4 2 2" xfId="12823" xr:uid="{00000000-0005-0000-0000-000086420000}"/>
    <cellStyle name="Normal 11 2 4 4 2 2 2" xfId="12824" xr:uid="{00000000-0005-0000-0000-000087420000}"/>
    <cellStyle name="Normal 11 2 4 4 2 3" xfId="12825" xr:uid="{00000000-0005-0000-0000-000088420000}"/>
    <cellStyle name="Normal 11 2 4 4 3" xfId="12826" xr:uid="{00000000-0005-0000-0000-000089420000}"/>
    <cellStyle name="Normal 11 2 4 4 3 2" xfId="12827" xr:uid="{00000000-0005-0000-0000-00008A420000}"/>
    <cellStyle name="Normal 11 2 4 4 4" xfId="12828" xr:uid="{00000000-0005-0000-0000-00008B420000}"/>
    <cellStyle name="Normal 11 2 4 5" xfId="12829" xr:uid="{00000000-0005-0000-0000-00008C420000}"/>
    <cellStyle name="Normal 11 2 4 5 2" xfId="12830" xr:uid="{00000000-0005-0000-0000-00008D420000}"/>
    <cellStyle name="Normal 11 2 4 5 2 2" xfId="12831" xr:uid="{00000000-0005-0000-0000-00008E420000}"/>
    <cellStyle name="Normal 11 2 4 5 3" xfId="12832" xr:uid="{00000000-0005-0000-0000-00008F420000}"/>
    <cellStyle name="Normal 11 2 4 6" xfId="12833" xr:uid="{00000000-0005-0000-0000-000090420000}"/>
    <cellStyle name="Normal 11 2 4 6 2" xfId="12834" xr:uid="{00000000-0005-0000-0000-000091420000}"/>
    <cellStyle name="Normal 11 2 4 7" xfId="12835" xr:uid="{00000000-0005-0000-0000-000092420000}"/>
    <cellStyle name="Normal 11 2 5" xfId="12836" xr:uid="{00000000-0005-0000-0000-000093420000}"/>
    <cellStyle name="Normal 11 2 5 2" xfId="12837" xr:uid="{00000000-0005-0000-0000-000094420000}"/>
    <cellStyle name="Normal 11 2 5 2 2" xfId="12838" xr:uid="{00000000-0005-0000-0000-000095420000}"/>
    <cellStyle name="Normal 11 2 5 2 2 2" xfId="12839" xr:uid="{00000000-0005-0000-0000-000096420000}"/>
    <cellStyle name="Normal 11 2 5 2 2 2 2" xfId="12840" xr:uid="{00000000-0005-0000-0000-000097420000}"/>
    <cellStyle name="Normal 11 2 5 2 2 2 2 2" xfId="12841" xr:uid="{00000000-0005-0000-0000-000098420000}"/>
    <cellStyle name="Normal 11 2 5 2 2 2 3" xfId="12842" xr:uid="{00000000-0005-0000-0000-000099420000}"/>
    <cellStyle name="Normal 11 2 5 2 2 3" xfId="12843" xr:uid="{00000000-0005-0000-0000-00009A420000}"/>
    <cellStyle name="Normal 11 2 5 2 2 3 2" xfId="12844" xr:uid="{00000000-0005-0000-0000-00009B420000}"/>
    <cellStyle name="Normal 11 2 5 2 2 4" xfId="12845" xr:uid="{00000000-0005-0000-0000-00009C420000}"/>
    <cellStyle name="Normal 11 2 5 2 3" xfId="12846" xr:uid="{00000000-0005-0000-0000-00009D420000}"/>
    <cellStyle name="Normal 11 2 5 2 3 2" xfId="12847" xr:uid="{00000000-0005-0000-0000-00009E420000}"/>
    <cellStyle name="Normal 11 2 5 2 3 2 2" xfId="12848" xr:uid="{00000000-0005-0000-0000-00009F420000}"/>
    <cellStyle name="Normal 11 2 5 2 3 3" xfId="12849" xr:uid="{00000000-0005-0000-0000-0000A0420000}"/>
    <cellStyle name="Normal 11 2 5 2 4" xfId="12850" xr:uid="{00000000-0005-0000-0000-0000A1420000}"/>
    <cellStyle name="Normal 11 2 5 2 4 2" xfId="12851" xr:uid="{00000000-0005-0000-0000-0000A2420000}"/>
    <cellStyle name="Normal 11 2 5 2 5" xfId="12852" xr:uid="{00000000-0005-0000-0000-0000A3420000}"/>
    <cellStyle name="Normal 11 2 5 3" xfId="12853" xr:uid="{00000000-0005-0000-0000-0000A4420000}"/>
    <cellStyle name="Normal 11 2 5 3 2" xfId="12854" xr:uid="{00000000-0005-0000-0000-0000A5420000}"/>
    <cellStyle name="Normal 11 2 5 3 2 2" xfId="12855" xr:uid="{00000000-0005-0000-0000-0000A6420000}"/>
    <cellStyle name="Normal 11 2 5 3 2 2 2" xfId="12856" xr:uid="{00000000-0005-0000-0000-0000A7420000}"/>
    <cellStyle name="Normal 11 2 5 3 2 3" xfId="12857" xr:uid="{00000000-0005-0000-0000-0000A8420000}"/>
    <cellStyle name="Normal 11 2 5 3 3" xfId="12858" xr:uid="{00000000-0005-0000-0000-0000A9420000}"/>
    <cellStyle name="Normal 11 2 5 3 3 2" xfId="12859" xr:uid="{00000000-0005-0000-0000-0000AA420000}"/>
    <cellStyle name="Normal 11 2 5 3 4" xfId="12860" xr:uid="{00000000-0005-0000-0000-0000AB420000}"/>
    <cellStyle name="Normal 11 2 5 4" xfId="12861" xr:uid="{00000000-0005-0000-0000-0000AC420000}"/>
    <cellStyle name="Normal 11 2 5 4 2" xfId="12862" xr:uid="{00000000-0005-0000-0000-0000AD420000}"/>
    <cellStyle name="Normal 11 2 5 4 2 2" xfId="12863" xr:uid="{00000000-0005-0000-0000-0000AE420000}"/>
    <cellStyle name="Normal 11 2 5 4 3" xfId="12864" xr:uid="{00000000-0005-0000-0000-0000AF420000}"/>
    <cellStyle name="Normal 11 2 5 5" xfId="12865" xr:uid="{00000000-0005-0000-0000-0000B0420000}"/>
    <cellStyle name="Normal 11 2 5 5 2" xfId="12866" xr:uid="{00000000-0005-0000-0000-0000B1420000}"/>
    <cellStyle name="Normal 11 2 5 6" xfId="12867" xr:uid="{00000000-0005-0000-0000-0000B2420000}"/>
    <cellStyle name="Normal 11 2 6" xfId="12868" xr:uid="{00000000-0005-0000-0000-0000B3420000}"/>
    <cellStyle name="Normal 11 2 6 2" xfId="12869" xr:uid="{00000000-0005-0000-0000-0000B4420000}"/>
    <cellStyle name="Normal 11 2 6 2 2" xfId="12870" xr:uid="{00000000-0005-0000-0000-0000B5420000}"/>
    <cellStyle name="Normal 11 2 6 2 2 2" xfId="12871" xr:uid="{00000000-0005-0000-0000-0000B6420000}"/>
    <cellStyle name="Normal 11 2 6 2 2 2 2" xfId="12872" xr:uid="{00000000-0005-0000-0000-0000B7420000}"/>
    <cellStyle name="Normal 11 2 6 2 2 3" xfId="12873" xr:uid="{00000000-0005-0000-0000-0000B8420000}"/>
    <cellStyle name="Normal 11 2 6 2 3" xfId="12874" xr:uid="{00000000-0005-0000-0000-0000B9420000}"/>
    <cellStyle name="Normal 11 2 6 2 3 2" xfId="12875" xr:uid="{00000000-0005-0000-0000-0000BA420000}"/>
    <cellStyle name="Normal 11 2 6 2 4" xfId="12876" xr:uid="{00000000-0005-0000-0000-0000BB420000}"/>
    <cellStyle name="Normal 11 2 6 3" xfId="12877" xr:uid="{00000000-0005-0000-0000-0000BC420000}"/>
    <cellStyle name="Normal 11 2 6 3 2" xfId="12878" xr:uid="{00000000-0005-0000-0000-0000BD420000}"/>
    <cellStyle name="Normal 11 2 6 3 2 2" xfId="12879" xr:uid="{00000000-0005-0000-0000-0000BE420000}"/>
    <cellStyle name="Normal 11 2 6 3 3" xfId="12880" xr:uid="{00000000-0005-0000-0000-0000BF420000}"/>
    <cellStyle name="Normal 11 2 6 4" xfId="12881" xr:uid="{00000000-0005-0000-0000-0000C0420000}"/>
    <cellStyle name="Normal 11 2 6 4 2" xfId="12882" xr:uid="{00000000-0005-0000-0000-0000C1420000}"/>
    <cellStyle name="Normal 11 2 6 5" xfId="12883" xr:uid="{00000000-0005-0000-0000-0000C2420000}"/>
    <cellStyle name="Normal 11 2 7" xfId="12884" xr:uid="{00000000-0005-0000-0000-0000C3420000}"/>
    <cellStyle name="Normal 11 2 7 2" xfId="12885" xr:uid="{00000000-0005-0000-0000-0000C4420000}"/>
    <cellStyle name="Normal 11 2 7 2 2" xfId="12886" xr:uid="{00000000-0005-0000-0000-0000C5420000}"/>
    <cellStyle name="Normal 11 2 7 2 2 2" xfId="12887" xr:uid="{00000000-0005-0000-0000-0000C6420000}"/>
    <cellStyle name="Normal 11 2 7 2 3" xfId="12888" xr:uid="{00000000-0005-0000-0000-0000C7420000}"/>
    <cellStyle name="Normal 11 2 7 3" xfId="12889" xr:uid="{00000000-0005-0000-0000-0000C8420000}"/>
    <cellStyle name="Normal 11 2 7 3 2" xfId="12890" xr:uid="{00000000-0005-0000-0000-0000C9420000}"/>
    <cellStyle name="Normal 11 2 7 4" xfId="12891" xr:uid="{00000000-0005-0000-0000-0000CA420000}"/>
    <cellStyle name="Normal 11 2 8" xfId="12892" xr:uid="{00000000-0005-0000-0000-0000CB420000}"/>
    <cellStyle name="Normal 11 2 8 2" xfId="12893" xr:uid="{00000000-0005-0000-0000-0000CC420000}"/>
    <cellStyle name="Normal 11 2 8 2 2" xfId="12894" xr:uid="{00000000-0005-0000-0000-0000CD420000}"/>
    <cellStyle name="Normal 11 2 8 3" xfId="12895" xr:uid="{00000000-0005-0000-0000-0000CE420000}"/>
    <cellStyle name="Normal 11 2 9" xfId="12896" xr:uid="{00000000-0005-0000-0000-0000CF420000}"/>
    <cellStyle name="Normal 11 2 9 2" xfId="12897" xr:uid="{00000000-0005-0000-0000-0000D0420000}"/>
    <cellStyle name="Normal 11 3" xfId="12898" xr:uid="{00000000-0005-0000-0000-0000D1420000}"/>
    <cellStyle name="Normal 11 3 2" xfId="12899" xr:uid="{00000000-0005-0000-0000-0000D2420000}"/>
    <cellStyle name="Normal 11 3 2 2" xfId="12900" xr:uid="{00000000-0005-0000-0000-0000D3420000}"/>
    <cellStyle name="Normal 11 3 2 2 2" xfId="12901" xr:uid="{00000000-0005-0000-0000-0000D4420000}"/>
    <cellStyle name="Normal 11 3 2 2 2 2" xfId="12902" xr:uid="{00000000-0005-0000-0000-0000D5420000}"/>
    <cellStyle name="Normal 11 3 2 2 2 2 2" xfId="12903" xr:uid="{00000000-0005-0000-0000-0000D6420000}"/>
    <cellStyle name="Normal 11 3 2 2 2 2 2 2" xfId="12904" xr:uid="{00000000-0005-0000-0000-0000D7420000}"/>
    <cellStyle name="Normal 11 3 2 2 2 2 2 2 2" xfId="12905" xr:uid="{00000000-0005-0000-0000-0000D8420000}"/>
    <cellStyle name="Normal 11 3 2 2 2 2 2 2 2 2" xfId="12906" xr:uid="{00000000-0005-0000-0000-0000D9420000}"/>
    <cellStyle name="Normal 11 3 2 2 2 2 2 2 3" xfId="12907" xr:uid="{00000000-0005-0000-0000-0000DA420000}"/>
    <cellStyle name="Normal 11 3 2 2 2 2 2 3" xfId="12908" xr:uid="{00000000-0005-0000-0000-0000DB420000}"/>
    <cellStyle name="Normal 11 3 2 2 2 2 2 3 2" xfId="12909" xr:uid="{00000000-0005-0000-0000-0000DC420000}"/>
    <cellStyle name="Normal 11 3 2 2 2 2 2 4" xfId="12910" xr:uid="{00000000-0005-0000-0000-0000DD420000}"/>
    <cellStyle name="Normal 11 3 2 2 2 2 3" xfId="12911" xr:uid="{00000000-0005-0000-0000-0000DE420000}"/>
    <cellStyle name="Normal 11 3 2 2 2 2 3 2" xfId="12912" xr:uid="{00000000-0005-0000-0000-0000DF420000}"/>
    <cellStyle name="Normal 11 3 2 2 2 2 3 2 2" xfId="12913" xr:uid="{00000000-0005-0000-0000-0000E0420000}"/>
    <cellStyle name="Normal 11 3 2 2 2 2 3 3" xfId="12914" xr:uid="{00000000-0005-0000-0000-0000E1420000}"/>
    <cellStyle name="Normal 11 3 2 2 2 2 4" xfId="12915" xr:uid="{00000000-0005-0000-0000-0000E2420000}"/>
    <cellStyle name="Normal 11 3 2 2 2 2 4 2" xfId="12916" xr:uid="{00000000-0005-0000-0000-0000E3420000}"/>
    <cellStyle name="Normal 11 3 2 2 2 2 5" xfId="12917" xr:uid="{00000000-0005-0000-0000-0000E4420000}"/>
    <cellStyle name="Normal 11 3 2 2 2 3" xfId="12918" xr:uid="{00000000-0005-0000-0000-0000E5420000}"/>
    <cellStyle name="Normal 11 3 2 2 2 3 2" xfId="12919" xr:uid="{00000000-0005-0000-0000-0000E6420000}"/>
    <cellStyle name="Normal 11 3 2 2 2 3 2 2" xfId="12920" xr:uid="{00000000-0005-0000-0000-0000E7420000}"/>
    <cellStyle name="Normal 11 3 2 2 2 3 2 2 2" xfId="12921" xr:uid="{00000000-0005-0000-0000-0000E8420000}"/>
    <cellStyle name="Normal 11 3 2 2 2 3 2 3" xfId="12922" xr:uid="{00000000-0005-0000-0000-0000E9420000}"/>
    <cellStyle name="Normal 11 3 2 2 2 3 3" xfId="12923" xr:uid="{00000000-0005-0000-0000-0000EA420000}"/>
    <cellStyle name="Normal 11 3 2 2 2 3 3 2" xfId="12924" xr:uid="{00000000-0005-0000-0000-0000EB420000}"/>
    <cellStyle name="Normal 11 3 2 2 2 3 4" xfId="12925" xr:uid="{00000000-0005-0000-0000-0000EC420000}"/>
    <cellStyle name="Normal 11 3 2 2 2 4" xfId="12926" xr:uid="{00000000-0005-0000-0000-0000ED420000}"/>
    <cellStyle name="Normal 11 3 2 2 2 4 2" xfId="12927" xr:uid="{00000000-0005-0000-0000-0000EE420000}"/>
    <cellStyle name="Normal 11 3 2 2 2 4 2 2" xfId="12928" xr:uid="{00000000-0005-0000-0000-0000EF420000}"/>
    <cellStyle name="Normal 11 3 2 2 2 4 3" xfId="12929" xr:uid="{00000000-0005-0000-0000-0000F0420000}"/>
    <cellStyle name="Normal 11 3 2 2 2 5" xfId="12930" xr:uid="{00000000-0005-0000-0000-0000F1420000}"/>
    <cellStyle name="Normal 11 3 2 2 2 5 2" xfId="12931" xr:uid="{00000000-0005-0000-0000-0000F2420000}"/>
    <cellStyle name="Normal 11 3 2 2 2 6" xfId="12932" xr:uid="{00000000-0005-0000-0000-0000F3420000}"/>
    <cellStyle name="Normal 11 3 2 2 3" xfId="12933" xr:uid="{00000000-0005-0000-0000-0000F4420000}"/>
    <cellStyle name="Normal 11 3 2 2 3 2" xfId="12934" xr:uid="{00000000-0005-0000-0000-0000F5420000}"/>
    <cellStyle name="Normal 11 3 2 2 3 2 2" xfId="12935" xr:uid="{00000000-0005-0000-0000-0000F6420000}"/>
    <cellStyle name="Normal 11 3 2 2 3 2 2 2" xfId="12936" xr:uid="{00000000-0005-0000-0000-0000F7420000}"/>
    <cellStyle name="Normal 11 3 2 2 3 2 2 2 2" xfId="12937" xr:uid="{00000000-0005-0000-0000-0000F8420000}"/>
    <cellStyle name="Normal 11 3 2 2 3 2 2 3" xfId="12938" xr:uid="{00000000-0005-0000-0000-0000F9420000}"/>
    <cellStyle name="Normal 11 3 2 2 3 2 3" xfId="12939" xr:uid="{00000000-0005-0000-0000-0000FA420000}"/>
    <cellStyle name="Normal 11 3 2 2 3 2 3 2" xfId="12940" xr:uid="{00000000-0005-0000-0000-0000FB420000}"/>
    <cellStyle name="Normal 11 3 2 2 3 2 4" xfId="12941" xr:uid="{00000000-0005-0000-0000-0000FC420000}"/>
    <cellStyle name="Normal 11 3 2 2 3 3" xfId="12942" xr:uid="{00000000-0005-0000-0000-0000FD420000}"/>
    <cellStyle name="Normal 11 3 2 2 3 3 2" xfId="12943" xr:uid="{00000000-0005-0000-0000-0000FE420000}"/>
    <cellStyle name="Normal 11 3 2 2 3 3 2 2" xfId="12944" xr:uid="{00000000-0005-0000-0000-0000FF420000}"/>
    <cellStyle name="Normal 11 3 2 2 3 3 3" xfId="12945" xr:uid="{00000000-0005-0000-0000-000000430000}"/>
    <cellStyle name="Normal 11 3 2 2 3 4" xfId="12946" xr:uid="{00000000-0005-0000-0000-000001430000}"/>
    <cellStyle name="Normal 11 3 2 2 3 4 2" xfId="12947" xr:uid="{00000000-0005-0000-0000-000002430000}"/>
    <cellStyle name="Normal 11 3 2 2 3 5" xfId="12948" xr:uid="{00000000-0005-0000-0000-000003430000}"/>
    <cellStyle name="Normal 11 3 2 2 4" xfId="12949" xr:uid="{00000000-0005-0000-0000-000004430000}"/>
    <cellStyle name="Normal 11 3 2 2 4 2" xfId="12950" xr:uid="{00000000-0005-0000-0000-000005430000}"/>
    <cellStyle name="Normal 11 3 2 2 4 2 2" xfId="12951" xr:uid="{00000000-0005-0000-0000-000006430000}"/>
    <cellStyle name="Normal 11 3 2 2 4 2 2 2" xfId="12952" xr:uid="{00000000-0005-0000-0000-000007430000}"/>
    <cellStyle name="Normal 11 3 2 2 4 2 3" xfId="12953" xr:uid="{00000000-0005-0000-0000-000008430000}"/>
    <cellStyle name="Normal 11 3 2 2 4 3" xfId="12954" xr:uid="{00000000-0005-0000-0000-000009430000}"/>
    <cellStyle name="Normal 11 3 2 2 4 3 2" xfId="12955" xr:uid="{00000000-0005-0000-0000-00000A430000}"/>
    <cellStyle name="Normal 11 3 2 2 4 4" xfId="12956" xr:uid="{00000000-0005-0000-0000-00000B430000}"/>
    <cellStyle name="Normal 11 3 2 2 5" xfId="12957" xr:uid="{00000000-0005-0000-0000-00000C430000}"/>
    <cellStyle name="Normal 11 3 2 2 5 2" xfId="12958" xr:uid="{00000000-0005-0000-0000-00000D430000}"/>
    <cellStyle name="Normal 11 3 2 2 5 2 2" xfId="12959" xr:uid="{00000000-0005-0000-0000-00000E430000}"/>
    <cellStyle name="Normal 11 3 2 2 5 3" xfId="12960" xr:uid="{00000000-0005-0000-0000-00000F430000}"/>
    <cellStyle name="Normal 11 3 2 2 6" xfId="12961" xr:uid="{00000000-0005-0000-0000-000010430000}"/>
    <cellStyle name="Normal 11 3 2 2 6 2" xfId="12962" xr:uid="{00000000-0005-0000-0000-000011430000}"/>
    <cellStyle name="Normal 11 3 2 2 7" xfId="12963" xr:uid="{00000000-0005-0000-0000-000012430000}"/>
    <cellStyle name="Normal 11 3 2 3" xfId="12964" xr:uid="{00000000-0005-0000-0000-000013430000}"/>
    <cellStyle name="Normal 11 3 2 3 2" xfId="12965" xr:uid="{00000000-0005-0000-0000-000014430000}"/>
    <cellStyle name="Normal 11 3 2 3 2 2" xfId="12966" xr:uid="{00000000-0005-0000-0000-000015430000}"/>
    <cellStyle name="Normal 11 3 2 3 2 2 2" xfId="12967" xr:uid="{00000000-0005-0000-0000-000016430000}"/>
    <cellStyle name="Normal 11 3 2 3 2 2 2 2" xfId="12968" xr:uid="{00000000-0005-0000-0000-000017430000}"/>
    <cellStyle name="Normal 11 3 2 3 2 2 2 2 2" xfId="12969" xr:uid="{00000000-0005-0000-0000-000018430000}"/>
    <cellStyle name="Normal 11 3 2 3 2 2 2 3" xfId="12970" xr:uid="{00000000-0005-0000-0000-000019430000}"/>
    <cellStyle name="Normal 11 3 2 3 2 2 3" xfId="12971" xr:uid="{00000000-0005-0000-0000-00001A430000}"/>
    <cellStyle name="Normal 11 3 2 3 2 2 3 2" xfId="12972" xr:uid="{00000000-0005-0000-0000-00001B430000}"/>
    <cellStyle name="Normal 11 3 2 3 2 2 4" xfId="12973" xr:uid="{00000000-0005-0000-0000-00001C430000}"/>
    <cellStyle name="Normal 11 3 2 3 2 3" xfId="12974" xr:uid="{00000000-0005-0000-0000-00001D430000}"/>
    <cellStyle name="Normal 11 3 2 3 2 3 2" xfId="12975" xr:uid="{00000000-0005-0000-0000-00001E430000}"/>
    <cellStyle name="Normal 11 3 2 3 2 3 2 2" xfId="12976" xr:uid="{00000000-0005-0000-0000-00001F430000}"/>
    <cellStyle name="Normal 11 3 2 3 2 3 3" xfId="12977" xr:uid="{00000000-0005-0000-0000-000020430000}"/>
    <cellStyle name="Normal 11 3 2 3 2 4" xfId="12978" xr:uid="{00000000-0005-0000-0000-000021430000}"/>
    <cellStyle name="Normal 11 3 2 3 2 4 2" xfId="12979" xr:uid="{00000000-0005-0000-0000-000022430000}"/>
    <cellStyle name="Normal 11 3 2 3 2 5" xfId="12980" xr:uid="{00000000-0005-0000-0000-000023430000}"/>
    <cellStyle name="Normal 11 3 2 3 3" xfId="12981" xr:uid="{00000000-0005-0000-0000-000024430000}"/>
    <cellStyle name="Normal 11 3 2 3 3 2" xfId="12982" xr:uid="{00000000-0005-0000-0000-000025430000}"/>
    <cellStyle name="Normal 11 3 2 3 3 2 2" xfId="12983" xr:uid="{00000000-0005-0000-0000-000026430000}"/>
    <cellStyle name="Normal 11 3 2 3 3 2 2 2" xfId="12984" xr:uid="{00000000-0005-0000-0000-000027430000}"/>
    <cellStyle name="Normal 11 3 2 3 3 2 3" xfId="12985" xr:uid="{00000000-0005-0000-0000-000028430000}"/>
    <cellStyle name="Normal 11 3 2 3 3 3" xfId="12986" xr:uid="{00000000-0005-0000-0000-000029430000}"/>
    <cellStyle name="Normal 11 3 2 3 3 3 2" xfId="12987" xr:uid="{00000000-0005-0000-0000-00002A430000}"/>
    <cellStyle name="Normal 11 3 2 3 3 4" xfId="12988" xr:uid="{00000000-0005-0000-0000-00002B430000}"/>
    <cellStyle name="Normal 11 3 2 3 4" xfId="12989" xr:uid="{00000000-0005-0000-0000-00002C430000}"/>
    <cellStyle name="Normal 11 3 2 3 4 2" xfId="12990" xr:uid="{00000000-0005-0000-0000-00002D430000}"/>
    <cellStyle name="Normal 11 3 2 3 4 2 2" xfId="12991" xr:uid="{00000000-0005-0000-0000-00002E430000}"/>
    <cellStyle name="Normal 11 3 2 3 4 3" xfId="12992" xr:uid="{00000000-0005-0000-0000-00002F430000}"/>
    <cellStyle name="Normal 11 3 2 3 5" xfId="12993" xr:uid="{00000000-0005-0000-0000-000030430000}"/>
    <cellStyle name="Normal 11 3 2 3 5 2" xfId="12994" xr:uid="{00000000-0005-0000-0000-000031430000}"/>
    <cellStyle name="Normal 11 3 2 3 6" xfId="12995" xr:uid="{00000000-0005-0000-0000-000032430000}"/>
    <cellStyle name="Normal 11 3 2 4" xfId="12996" xr:uid="{00000000-0005-0000-0000-000033430000}"/>
    <cellStyle name="Normal 11 3 2 4 2" xfId="12997" xr:uid="{00000000-0005-0000-0000-000034430000}"/>
    <cellStyle name="Normal 11 3 2 4 2 2" xfId="12998" xr:uid="{00000000-0005-0000-0000-000035430000}"/>
    <cellStyle name="Normal 11 3 2 4 2 2 2" xfId="12999" xr:uid="{00000000-0005-0000-0000-000036430000}"/>
    <cellStyle name="Normal 11 3 2 4 2 2 2 2" xfId="13000" xr:uid="{00000000-0005-0000-0000-000037430000}"/>
    <cellStyle name="Normal 11 3 2 4 2 2 3" xfId="13001" xr:uid="{00000000-0005-0000-0000-000038430000}"/>
    <cellStyle name="Normal 11 3 2 4 2 3" xfId="13002" xr:uid="{00000000-0005-0000-0000-000039430000}"/>
    <cellStyle name="Normal 11 3 2 4 2 3 2" xfId="13003" xr:uid="{00000000-0005-0000-0000-00003A430000}"/>
    <cellStyle name="Normal 11 3 2 4 2 4" xfId="13004" xr:uid="{00000000-0005-0000-0000-00003B430000}"/>
    <cellStyle name="Normal 11 3 2 4 3" xfId="13005" xr:uid="{00000000-0005-0000-0000-00003C430000}"/>
    <cellStyle name="Normal 11 3 2 4 3 2" xfId="13006" xr:uid="{00000000-0005-0000-0000-00003D430000}"/>
    <cellStyle name="Normal 11 3 2 4 3 2 2" xfId="13007" xr:uid="{00000000-0005-0000-0000-00003E430000}"/>
    <cellStyle name="Normal 11 3 2 4 3 3" xfId="13008" xr:uid="{00000000-0005-0000-0000-00003F430000}"/>
    <cellStyle name="Normal 11 3 2 4 4" xfId="13009" xr:uid="{00000000-0005-0000-0000-000040430000}"/>
    <cellStyle name="Normal 11 3 2 4 4 2" xfId="13010" xr:uid="{00000000-0005-0000-0000-000041430000}"/>
    <cellStyle name="Normal 11 3 2 4 5" xfId="13011" xr:uid="{00000000-0005-0000-0000-000042430000}"/>
    <cellStyle name="Normal 11 3 2 5" xfId="13012" xr:uid="{00000000-0005-0000-0000-000043430000}"/>
    <cellStyle name="Normal 11 3 2 5 2" xfId="13013" xr:uid="{00000000-0005-0000-0000-000044430000}"/>
    <cellStyle name="Normal 11 3 2 5 2 2" xfId="13014" xr:uid="{00000000-0005-0000-0000-000045430000}"/>
    <cellStyle name="Normal 11 3 2 5 2 2 2" xfId="13015" xr:uid="{00000000-0005-0000-0000-000046430000}"/>
    <cellStyle name="Normal 11 3 2 5 2 3" xfId="13016" xr:uid="{00000000-0005-0000-0000-000047430000}"/>
    <cellStyle name="Normal 11 3 2 5 3" xfId="13017" xr:uid="{00000000-0005-0000-0000-000048430000}"/>
    <cellStyle name="Normal 11 3 2 5 3 2" xfId="13018" xr:uid="{00000000-0005-0000-0000-000049430000}"/>
    <cellStyle name="Normal 11 3 2 5 4" xfId="13019" xr:uid="{00000000-0005-0000-0000-00004A430000}"/>
    <cellStyle name="Normal 11 3 2 6" xfId="13020" xr:uid="{00000000-0005-0000-0000-00004B430000}"/>
    <cellStyle name="Normal 11 3 2 6 2" xfId="13021" xr:uid="{00000000-0005-0000-0000-00004C430000}"/>
    <cellStyle name="Normal 11 3 2 6 2 2" xfId="13022" xr:uid="{00000000-0005-0000-0000-00004D430000}"/>
    <cellStyle name="Normal 11 3 2 6 3" xfId="13023" xr:uid="{00000000-0005-0000-0000-00004E430000}"/>
    <cellStyle name="Normal 11 3 2 7" xfId="13024" xr:uid="{00000000-0005-0000-0000-00004F430000}"/>
    <cellStyle name="Normal 11 3 2 7 2" xfId="13025" xr:uid="{00000000-0005-0000-0000-000050430000}"/>
    <cellStyle name="Normal 11 3 2 8" xfId="13026" xr:uid="{00000000-0005-0000-0000-000051430000}"/>
    <cellStyle name="Normal 11 3 3" xfId="13027" xr:uid="{00000000-0005-0000-0000-000052430000}"/>
    <cellStyle name="Normal 11 3 3 2" xfId="13028" xr:uid="{00000000-0005-0000-0000-000053430000}"/>
    <cellStyle name="Normal 11 3 3 2 2" xfId="13029" xr:uid="{00000000-0005-0000-0000-000054430000}"/>
    <cellStyle name="Normal 11 3 3 2 2 2" xfId="13030" xr:uid="{00000000-0005-0000-0000-000055430000}"/>
    <cellStyle name="Normal 11 3 3 2 2 2 2" xfId="13031" xr:uid="{00000000-0005-0000-0000-000056430000}"/>
    <cellStyle name="Normal 11 3 3 2 2 2 2 2" xfId="13032" xr:uid="{00000000-0005-0000-0000-000057430000}"/>
    <cellStyle name="Normal 11 3 3 2 2 2 2 2 2" xfId="13033" xr:uid="{00000000-0005-0000-0000-000058430000}"/>
    <cellStyle name="Normal 11 3 3 2 2 2 2 3" xfId="13034" xr:uid="{00000000-0005-0000-0000-000059430000}"/>
    <cellStyle name="Normal 11 3 3 2 2 2 3" xfId="13035" xr:uid="{00000000-0005-0000-0000-00005A430000}"/>
    <cellStyle name="Normal 11 3 3 2 2 2 3 2" xfId="13036" xr:uid="{00000000-0005-0000-0000-00005B430000}"/>
    <cellStyle name="Normal 11 3 3 2 2 2 4" xfId="13037" xr:uid="{00000000-0005-0000-0000-00005C430000}"/>
    <cellStyle name="Normal 11 3 3 2 2 3" xfId="13038" xr:uid="{00000000-0005-0000-0000-00005D430000}"/>
    <cellStyle name="Normal 11 3 3 2 2 3 2" xfId="13039" xr:uid="{00000000-0005-0000-0000-00005E430000}"/>
    <cellStyle name="Normal 11 3 3 2 2 3 2 2" xfId="13040" xr:uid="{00000000-0005-0000-0000-00005F430000}"/>
    <cellStyle name="Normal 11 3 3 2 2 3 3" xfId="13041" xr:uid="{00000000-0005-0000-0000-000060430000}"/>
    <cellStyle name="Normal 11 3 3 2 2 4" xfId="13042" xr:uid="{00000000-0005-0000-0000-000061430000}"/>
    <cellStyle name="Normal 11 3 3 2 2 4 2" xfId="13043" xr:uid="{00000000-0005-0000-0000-000062430000}"/>
    <cellStyle name="Normal 11 3 3 2 2 5" xfId="13044" xr:uid="{00000000-0005-0000-0000-000063430000}"/>
    <cellStyle name="Normal 11 3 3 2 3" xfId="13045" xr:uid="{00000000-0005-0000-0000-000064430000}"/>
    <cellStyle name="Normal 11 3 3 2 3 2" xfId="13046" xr:uid="{00000000-0005-0000-0000-000065430000}"/>
    <cellStyle name="Normal 11 3 3 2 3 2 2" xfId="13047" xr:uid="{00000000-0005-0000-0000-000066430000}"/>
    <cellStyle name="Normal 11 3 3 2 3 2 2 2" xfId="13048" xr:uid="{00000000-0005-0000-0000-000067430000}"/>
    <cellStyle name="Normal 11 3 3 2 3 2 3" xfId="13049" xr:uid="{00000000-0005-0000-0000-000068430000}"/>
    <cellStyle name="Normal 11 3 3 2 3 3" xfId="13050" xr:uid="{00000000-0005-0000-0000-000069430000}"/>
    <cellStyle name="Normal 11 3 3 2 3 3 2" xfId="13051" xr:uid="{00000000-0005-0000-0000-00006A430000}"/>
    <cellStyle name="Normal 11 3 3 2 3 4" xfId="13052" xr:uid="{00000000-0005-0000-0000-00006B430000}"/>
    <cellStyle name="Normal 11 3 3 2 4" xfId="13053" xr:uid="{00000000-0005-0000-0000-00006C430000}"/>
    <cellStyle name="Normal 11 3 3 2 4 2" xfId="13054" xr:uid="{00000000-0005-0000-0000-00006D430000}"/>
    <cellStyle name="Normal 11 3 3 2 4 2 2" xfId="13055" xr:uid="{00000000-0005-0000-0000-00006E430000}"/>
    <cellStyle name="Normal 11 3 3 2 4 3" xfId="13056" xr:uid="{00000000-0005-0000-0000-00006F430000}"/>
    <cellStyle name="Normal 11 3 3 2 5" xfId="13057" xr:uid="{00000000-0005-0000-0000-000070430000}"/>
    <cellStyle name="Normal 11 3 3 2 5 2" xfId="13058" xr:uid="{00000000-0005-0000-0000-000071430000}"/>
    <cellStyle name="Normal 11 3 3 2 6" xfId="13059" xr:uid="{00000000-0005-0000-0000-000072430000}"/>
    <cellStyle name="Normal 11 3 3 3" xfId="13060" xr:uid="{00000000-0005-0000-0000-000073430000}"/>
    <cellStyle name="Normal 11 3 3 3 2" xfId="13061" xr:uid="{00000000-0005-0000-0000-000074430000}"/>
    <cellStyle name="Normal 11 3 3 3 2 2" xfId="13062" xr:uid="{00000000-0005-0000-0000-000075430000}"/>
    <cellStyle name="Normal 11 3 3 3 2 2 2" xfId="13063" xr:uid="{00000000-0005-0000-0000-000076430000}"/>
    <cellStyle name="Normal 11 3 3 3 2 2 2 2" xfId="13064" xr:uid="{00000000-0005-0000-0000-000077430000}"/>
    <cellStyle name="Normal 11 3 3 3 2 2 3" xfId="13065" xr:uid="{00000000-0005-0000-0000-000078430000}"/>
    <cellStyle name="Normal 11 3 3 3 2 3" xfId="13066" xr:uid="{00000000-0005-0000-0000-000079430000}"/>
    <cellStyle name="Normal 11 3 3 3 2 3 2" xfId="13067" xr:uid="{00000000-0005-0000-0000-00007A430000}"/>
    <cellStyle name="Normal 11 3 3 3 2 4" xfId="13068" xr:uid="{00000000-0005-0000-0000-00007B430000}"/>
    <cellStyle name="Normal 11 3 3 3 3" xfId="13069" xr:uid="{00000000-0005-0000-0000-00007C430000}"/>
    <cellStyle name="Normal 11 3 3 3 3 2" xfId="13070" xr:uid="{00000000-0005-0000-0000-00007D430000}"/>
    <cellStyle name="Normal 11 3 3 3 3 2 2" xfId="13071" xr:uid="{00000000-0005-0000-0000-00007E430000}"/>
    <cellStyle name="Normal 11 3 3 3 3 3" xfId="13072" xr:uid="{00000000-0005-0000-0000-00007F430000}"/>
    <cellStyle name="Normal 11 3 3 3 4" xfId="13073" xr:uid="{00000000-0005-0000-0000-000080430000}"/>
    <cellStyle name="Normal 11 3 3 3 4 2" xfId="13074" xr:uid="{00000000-0005-0000-0000-000081430000}"/>
    <cellStyle name="Normal 11 3 3 3 5" xfId="13075" xr:uid="{00000000-0005-0000-0000-000082430000}"/>
    <cellStyle name="Normal 11 3 3 4" xfId="13076" xr:uid="{00000000-0005-0000-0000-000083430000}"/>
    <cellStyle name="Normal 11 3 3 4 2" xfId="13077" xr:uid="{00000000-0005-0000-0000-000084430000}"/>
    <cellStyle name="Normal 11 3 3 4 2 2" xfId="13078" xr:uid="{00000000-0005-0000-0000-000085430000}"/>
    <cellStyle name="Normal 11 3 3 4 2 2 2" xfId="13079" xr:uid="{00000000-0005-0000-0000-000086430000}"/>
    <cellStyle name="Normal 11 3 3 4 2 3" xfId="13080" xr:uid="{00000000-0005-0000-0000-000087430000}"/>
    <cellStyle name="Normal 11 3 3 4 3" xfId="13081" xr:uid="{00000000-0005-0000-0000-000088430000}"/>
    <cellStyle name="Normal 11 3 3 4 3 2" xfId="13082" xr:uid="{00000000-0005-0000-0000-000089430000}"/>
    <cellStyle name="Normal 11 3 3 4 4" xfId="13083" xr:uid="{00000000-0005-0000-0000-00008A430000}"/>
    <cellStyle name="Normal 11 3 3 5" xfId="13084" xr:uid="{00000000-0005-0000-0000-00008B430000}"/>
    <cellStyle name="Normal 11 3 3 5 2" xfId="13085" xr:uid="{00000000-0005-0000-0000-00008C430000}"/>
    <cellStyle name="Normal 11 3 3 5 2 2" xfId="13086" xr:uid="{00000000-0005-0000-0000-00008D430000}"/>
    <cellStyle name="Normal 11 3 3 5 3" xfId="13087" xr:uid="{00000000-0005-0000-0000-00008E430000}"/>
    <cellStyle name="Normal 11 3 3 6" xfId="13088" xr:uid="{00000000-0005-0000-0000-00008F430000}"/>
    <cellStyle name="Normal 11 3 3 6 2" xfId="13089" xr:uid="{00000000-0005-0000-0000-000090430000}"/>
    <cellStyle name="Normal 11 3 3 7" xfId="13090" xr:uid="{00000000-0005-0000-0000-000091430000}"/>
    <cellStyle name="Normal 11 3 4" xfId="13091" xr:uid="{00000000-0005-0000-0000-000092430000}"/>
    <cellStyle name="Normal 11 3 4 2" xfId="13092" xr:uid="{00000000-0005-0000-0000-000093430000}"/>
    <cellStyle name="Normal 11 3 4 2 2" xfId="13093" xr:uid="{00000000-0005-0000-0000-000094430000}"/>
    <cellStyle name="Normal 11 3 4 2 2 2" xfId="13094" xr:uid="{00000000-0005-0000-0000-000095430000}"/>
    <cellStyle name="Normal 11 3 4 2 2 2 2" xfId="13095" xr:uid="{00000000-0005-0000-0000-000096430000}"/>
    <cellStyle name="Normal 11 3 4 2 2 2 2 2" xfId="13096" xr:uid="{00000000-0005-0000-0000-000097430000}"/>
    <cellStyle name="Normal 11 3 4 2 2 2 3" xfId="13097" xr:uid="{00000000-0005-0000-0000-000098430000}"/>
    <cellStyle name="Normal 11 3 4 2 2 3" xfId="13098" xr:uid="{00000000-0005-0000-0000-000099430000}"/>
    <cellStyle name="Normal 11 3 4 2 2 3 2" xfId="13099" xr:uid="{00000000-0005-0000-0000-00009A430000}"/>
    <cellStyle name="Normal 11 3 4 2 2 4" xfId="13100" xr:uid="{00000000-0005-0000-0000-00009B430000}"/>
    <cellStyle name="Normal 11 3 4 2 3" xfId="13101" xr:uid="{00000000-0005-0000-0000-00009C430000}"/>
    <cellStyle name="Normal 11 3 4 2 3 2" xfId="13102" xr:uid="{00000000-0005-0000-0000-00009D430000}"/>
    <cellStyle name="Normal 11 3 4 2 3 2 2" xfId="13103" xr:uid="{00000000-0005-0000-0000-00009E430000}"/>
    <cellStyle name="Normal 11 3 4 2 3 3" xfId="13104" xr:uid="{00000000-0005-0000-0000-00009F430000}"/>
    <cellStyle name="Normal 11 3 4 2 4" xfId="13105" xr:uid="{00000000-0005-0000-0000-0000A0430000}"/>
    <cellStyle name="Normal 11 3 4 2 4 2" xfId="13106" xr:uid="{00000000-0005-0000-0000-0000A1430000}"/>
    <cellStyle name="Normal 11 3 4 2 5" xfId="13107" xr:uid="{00000000-0005-0000-0000-0000A2430000}"/>
    <cellStyle name="Normal 11 3 4 3" xfId="13108" xr:uid="{00000000-0005-0000-0000-0000A3430000}"/>
    <cellStyle name="Normal 11 3 4 3 2" xfId="13109" xr:uid="{00000000-0005-0000-0000-0000A4430000}"/>
    <cellStyle name="Normal 11 3 4 3 2 2" xfId="13110" xr:uid="{00000000-0005-0000-0000-0000A5430000}"/>
    <cellStyle name="Normal 11 3 4 3 2 2 2" xfId="13111" xr:uid="{00000000-0005-0000-0000-0000A6430000}"/>
    <cellStyle name="Normal 11 3 4 3 2 3" xfId="13112" xr:uid="{00000000-0005-0000-0000-0000A7430000}"/>
    <cellStyle name="Normal 11 3 4 3 3" xfId="13113" xr:uid="{00000000-0005-0000-0000-0000A8430000}"/>
    <cellStyle name="Normal 11 3 4 3 3 2" xfId="13114" xr:uid="{00000000-0005-0000-0000-0000A9430000}"/>
    <cellStyle name="Normal 11 3 4 3 4" xfId="13115" xr:uid="{00000000-0005-0000-0000-0000AA430000}"/>
    <cellStyle name="Normal 11 3 4 4" xfId="13116" xr:uid="{00000000-0005-0000-0000-0000AB430000}"/>
    <cellStyle name="Normal 11 3 4 4 2" xfId="13117" xr:uid="{00000000-0005-0000-0000-0000AC430000}"/>
    <cellStyle name="Normal 11 3 4 4 2 2" xfId="13118" xr:uid="{00000000-0005-0000-0000-0000AD430000}"/>
    <cellStyle name="Normal 11 3 4 4 3" xfId="13119" xr:uid="{00000000-0005-0000-0000-0000AE430000}"/>
    <cellStyle name="Normal 11 3 4 5" xfId="13120" xr:uid="{00000000-0005-0000-0000-0000AF430000}"/>
    <cellStyle name="Normal 11 3 4 5 2" xfId="13121" xr:uid="{00000000-0005-0000-0000-0000B0430000}"/>
    <cellStyle name="Normal 11 3 4 6" xfId="13122" xr:uid="{00000000-0005-0000-0000-0000B1430000}"/>
    <cellStyle name="Normal 11 3 5" xfId="13123" xr:uid="{00000000-0005-0000-0000-0000B2430000}"/>
    <cellStyle name="Normal 11 3 5 2" xfId="13124" xr:uid="{00000000-0005-0000-0000-0000B3430000}"/>
    <cellStyle name="Normal 11 3 5 2 2" xfId="13125" xr:uid="{00000000-0005-0000-0000-0000B4430000}"/>
    <cellStyle name="Normal 11 3 5 2 2 2" xfId="13126" xr:uid="{00000000-0005-0000-0000-0000B5430000}"/>
    <cellStyle name="Normal 11 3 5 2 2 2 2" xfId="13127" xr:uid="{00000000-0005-0000-0000-0000B6430000}"/>
    <cellStyle name="Normal 11 3 5 2 2 3" xfId="13128" xr:uid="{00000000-0005-0000-0000-0000B7430000}"/>
    <cellStyle name="Normal 11 3 5 2 3" xfId="13129" xr:uid="{00000000-0005-0000-0000-0000B8430000}"/>
    <cellStyle name="Normal 11 3 5 2 3 2" xfId="13130" xr:uid="{00000000-0005-0000-0000-0000B9430000}"/>
    <cellStyle name="Normal 11 3 5 2 4" xfId="13131" xr:uid="{00000000-0005-0000-0000-0000BA430000}"/>
    <cellStyle name="Normal 11 3 5 3" xfId="13132" xr:uid="{00000000-0005-0000-0000-0000BB430000}"/>
    <cellStyle name="Normal 11 3 5 3 2" xfId="13133" xr:uid="{00000000-0005-0000-0000-0000BC430000}"/>
    <cellStyle name="Normal 11 3 5 3 2 2" xfId="13134" xr:uid="{00000000-0005-0000-0000-0000BD430000}"/>
    <cellStyle name="Normal 11 3 5 3 3" xfId="13135" xr:uid="{00000000-0005-0000-0000-0000BE430000}"/>
    <cellStyle name="Normal 11 3 5 4" xfId="13136" xr:uid="{00000000-0005-0000-0000-0000BF430000}"/>
    <cellStyle name="Normal 11 3 5 4 2" xfId="13137" xr:uid="{00000000-0005-0000-0000-0000C0430000}"/>
    <cellStyle name="Normal 11 3 5 5" xfId="13138" xr:uid="{00000000-0005-0000-0000-0000C1430000}"/>
    <cellStyle name="Normal 11 3 6" xfId="13139" xr:uid="{00000000-0005-0000-0000-0000C2430000}"/>
    <cellStyle name="Normal 11 3 6 2" xfId="13140" xr:uid="{00000000-0005-0000-0000-0000C3430000}"/>
    <cellStyle name="Normal 11 3 6 2 2" xfId="13141" xr:uid="{00000000-0005-0000-0000-0000C4430000}"/>
    <cellStyle name="Normal 11 3 6 2 2 2" xfId="13142" xr:uid="{00000000-0005-0000-0000-0000C5430000}"/>
    <cellStyle name="Normal 11 3 6 2 3" xfId="13143" xr:uid="{00000000-0005-0000-0000-0000C6430000}"/>
    <cellStyle name="Normal 11 3 6 3" xfId="13144" xr:uid="{00000000-0005-0000-0000-0000C7430000}"/>
    <cellStyle name="Normal 11 3 6 3 2" xfId="13145" xr:uid="{00000000-0005-0000-0000-0000C8430000}"/>
    <cellStyle name="Normal 11 3 6 4" xfId="13146" xr:uid="{00000000-0005-0000-0000-0000C9430000}"/>
    <cellStyle name="Normal 11 3 7" xfId="13147" xr:uid="{00000000-0005-0000-0000-0000CA430000}"/>
    <cellStyle name="Normal 11 3 7 2" xfId="13148" xr:uid="{00000000-0005-0000-0000-0000CB430000}"/>
    <cellStyle name="Normal 11 3 7 2 2" xfId="13149" xr:uid="{00000000-0005-0000-0000-0000CC430000}"/>
    <cellStyle name="Normal 11 3 7 3" xfId="13150" xr:uid="{00000000-0005-0000-0000-0000CD430000}"/>
    <cellStyle name="Normal 11 3 8" xfId="13151" xr:uid="{00000000-0005-0000-0000-0000CE430000}"/>
    <cellStyle name="Normal 11 3 8 2" xfId="13152" xr:uid="{00000000-0005-0000-0000-0000CF430000}"/>
    <cellStyle name="Normal 11 3 9" xfId="13153" xr:uid="{00000000-0005-0000-0000-0000D0430000}"/>
    <cellStyle name="Normal 11 4" xfId="13154" xr:uid="{00000000-0005-0000-0000-0000D1430000}"/>
    <cellStyle name="Normal 11 4 2" xfId="13155" xr:uid="{00000000-0005-0000-0000-0000D2430000}"/>
    <cellStyle name="Normal 11 4 2 2" xfId="13156" xr:uid="{00000000-0005-0000-0000-0000D3430000}"/>
    <cellStyle name="Normal 11 4 2 2 2" xfId="13157" xr:uid="{00000000-0005-0000-0000-0000D4430000}"/>
    <cellStyle name="Normal 11 4 2 2 2 2" xfId="13158" xr:uid="{00000000-0005-0000-0000-0000D5430000}"/>
    <cellStyle name="Normal 11 4 2 2 2 2 2" xfId="13159" xr:uid="{00000000-0005-0000-0000-0000D6430000}"/>
    <cellStyle name="Normal 11 4 2 2 2 2 2 2" xfId="13160" xr:uid="{00000000-0005-0000-0000-0000D7430000}"/>
    <cellStyle name="Normal 11 4 2 2 2 2 2 2 2" xfId="13161" xr:uid="{00000000-0005-0000-0000-0000D8430000}"/>
    <cellStyle name="Normal 11 4 2 2 2 2 2 3" xfId="13162" xr:uid="{00000000-0005-0000-0000-0000D9430000}"/>
    <cellStyle name="Normal 11 4 2 2 2 2 3" xfId="13163" xr:uid="{00000000-0005-0000-0000-0000DA430000}"/>
    <cellStyle name="Normal 11 4 2 2 2 2 3 2" xfId="13164" xr:uid="{00000000-0005-0000-0000-0000DB430000}"/>
    <cellStyle name="Normal 11 4 2 2 2 2 4" xfId="13165" xr:uid="{00000000-0005-0000-0000-0000DC430000}"/>
    <cellStyle name="Normal 11 4 2 2 2 3" xfId="13166" xr:uid="{00000000-0005-0000-0000-0000DD430000}"/>
    <cellStyle name="Normal 11 4 2 2 2 3 2" xfId="13167" xr:uid="{00000000-0005-0000-0000-0000DE430000}"/>
    <cellStyle name="Normal 11 4 2 2 2 3 2 2" xfId="13168" xr:uid="{00000000-0005-0000-0000-0000DF430000}"/>
    <cellStyle name="Normal 11 4 2 2 2 3 3" xfId="13169" xr:uid="{00000000-0005-0000-0000-0000E0430000}"/>
    <cellStyle name="Normal 11 4 2 2 2 4" xfId="13170" xr:uid="{00000000-0005-0000-0000-0000E1430000}"/>
    <cellStyle name="Normal 11 4 2 2 2 4 2" xfId="13171" xr:uid="{00000000-0005-0000-0000-0000E2430000}"/>
    <cellStyle name="Normal 11 4 2 2 2 5" xfId="13172" xr:uid="{00000000-0005-0000-0000-0000E3430000}"/>
    <cellStyle name="Normal 11 4 2 2 3" xfId="13173" xr:uid="{00000000-0005-0000-0000-0000E4430000}"/>
    <cellStyle name="Normal 11 4 2 2 3 2" xfId="13174" xr:uid="{00000000-0005-0000-0000-0000E5430000}"/>
    <cellStyle name="Normal 11 4 2 2 3 2 2" xfId="13175" xr:uid="{00000000-0005-0000-0000-0000E6430000}"/>
    <cellStyle name="Normal 11 4 2 2 3 2 2 2" xfId="13176" xr:uid="{00000000-0005-0000-0000-0000E7430000}"/>
    <cellStyle name="Normal 11 4 2 2 3 2 3" xfId="13177" xr:uid="{00000000-0005-0000-0000-0000E8430000}"/>
    <cellStyle name="Normal 11 4 2 2 3 3" xfId="13178" xr:uid="{00000000-0005-0000-0000-0000E9430000}"/>
    <cellStyle name="Normal 11 4 2 2 3 3 2" xfId="13179" xr:uid="{00000000-0005-0000-0000-0000EA430000}"/>
    <cellStyle name="Normal 11 4 2 2 3 4" xfId="13180" xr:uid="{00000000-0005-0000-0000-0000EB430000}"/>
    <cellStyle name="Normal 11 4 2 2 4" xfId="13181" xr:uid="{00000000-0005-0000-0000-0000EC430000}"/>
    <cellStyle name="Normal 11 4 2 2 4 2" xfId="13182" xr:uid="{00000000-0005-0000-0000-0000ED430000}"/>
    <cellStyle name="Normal 11 4 2 2 4 2 2" xfId="13183" xr:uid="{00000000-0005-0000-0000-0000EE430000}"/>
    <cellStyle name="Normal 11 4 2 2 4 3" xfId="13184" xr:uid="{00000000-0005-0000-0000-0000EF430000}"/>
    <cellStyle name="Normal 11 4 2 2 5" xfId="13185" xr:uid="{00000000-0005-0000-0000-0000F0430000}"/>
    <cellStyle name="Normal 11 4 2 2 5 2" xfId="13186" xr:uid="{00000000-0005-0000-0000-0000F1430000}"/>
    <cellStyle name="Normal 11 4 2 2 6" xfId="13187" xr:uid="{00000000-0005-0000-0000-0000F2430000}"/>
    <cellStyle name="Normal 11 4 2 3" xfId="13188" xr:uid="{00000000-0005-0000-0000-0000F3430000}"/>
    <cellStyle name="Normal 11 4 2 3 2" xfId="13189" xr:uid="{00000000-0005-0000-0000-0000F4430000}"/>
    <cellStyle name="Normal 11 4 2 3 2 2" xfId="13190" xr:uid="{00000000-0005-0000-0000-0000F5430000}"/>
    <cellStyle name="Normal 11 4 2 3 2 2 2" xfId="13191" xr:uid="{00000000-0005-0000-0000-0000F6430000}"/>
    <cellStyle name="Normal 11 4 2 3 2 2 2 2" xfId="13192" xr:uid="{00000000-0005-0000-0000-0000F7430000}"/>
    <cellStyle name="Normal 11 4 2 3 2 2 3" xfId="13193" xr:uid="{00000000-0005-0000-0000-0000F8430000}"/>
    <cellStyle name="Normal 11 4 2 3 2 3" xfId="13194" xr:uid="{00000000-0005-0000-0000-0000F9430000}"/>
    <cellStyle name="Normal 11 4 2 3 2 3 2" xfId="13195" xr:uid="{00000000-0005-0000-0000-0000FA430000}"/>
    <cellStyle name="Normal 11 4 2 3 2 4" xfId="13196" xr:uid="{00000000-0005-0000-0000-0000FB430000}"/>
    <cellStyle name="Normal 11 4 2 3 3" xfId="13197" xr:uid="{00000000-0005-0000-0000-0000FC430000}"/>
    <cellStyle name="Normal 11 4 2 3 3 2" xfId="13198" xr:uid="{00000000-0005-0000-0000-0000FD430000}"/>
    <cellStyle name="Normal 11 4 2 3 3 2 2" xfId="13199" xr:uid="{00000000-0005-0000-0000-0000FE430000}"/>
    <cellStyle name="Normal 11 4 2 3 3 3" xfId="13200" xr:uid="{00000000-0005-0000-0000-0000FF430000}"/>
    <cellStyle name="Normal 11 4 2 3 4" xfId="13201" xr:uid="{00000000-0005-0000-0000-000000440000}"/>
    <cellStyle name="Normal 11 4 2 3 4 2" xfId="13202" xr:uid="{00000000-0005-0000-0000-000001440000}"/>
    <cellStyle name="Normal 11 4 2 3 5" xfId="13203" xr:uid="{00000000-0005-0000-0000-000002440000}"/>
    <cellStyle name="Normal 11 4 2 4" xfId="13204" xr:uid="{00000000-0005-0000-0000-000003440000}"/>
    <cellStyle name="Normal 11 4 2 4 2" xfId="13205" xr:uid="{00000000-0005-0000-0000-000004440000}"/>
    <cellStyle name="Normal 11 4 2 4 2 2" xfId="13206" xr:uid="{00000000-0005-0000-0000-000005440000}"/>
    <cellStyle name="Normal 11 4 2 4 2 2 2" xfId="13207" xr:uid="{00000000-0005-0000-0000-000006440000}"/>
    <cellStyle name="Normal 11 4 2 4 2 3" xfId="13208" xr:uid="{00000000-0005-0000-0000-000007440000}"/>
    <cellStyle name="Normal 11 4 2 4 3" xfId="13209" xr:uid="{00000000-0005-0000-0000-000008440000}"/>
    <cellStyle name="Normal 11 4 2 4 3 2" xfId="13210" xr:uid="{00000000-0005-0000-0000-000009440000}"/>
    <cellStyle name="Normal 11 4 2 4 4" xfId="13211" xr:uid="{00000000-0005-0000-0000-00000A440000}"/>
    <cellStyle name="Normal 11 4 2 5" xfId="13212" xr:uid="{00000000-0005-0000-0000-00000B440000}"/>
    <cellStyle name="Normal 11 4 2 5 2" xfId="13213" xr:uid="{00000000-0005-0000-0000-00000C440000}"/>
    <cellStyle name="Normal 11 4 2 5 2 2" xfId="13214" xr:uid="{00000000-0005-0000-0000-00000D440000}"/>
    <cellStyle name="Normal 11 4 2 5 3" xfId="13215" xr:uid="{00000000-0005-0000-0000-00000E440000}"/>
    <cellStyle name="Normal 11 4 2 6" xfId="13216" xr:uid="{00000000-0005-0000-0000-00000F440000}"/>
    <cellStyle name="Normal 11 4 2 6 2" xfId="13217" xr:uid="{00000000-0005-0000-0000-000010440000}"/>
    <cellStyle name="Normal 11 4 2 7" xfId="13218" xr:uid="{00000000-0005-0000-0000-000011440000}"/>
    <cellStyle name="Normal 11 4 3" xfId="13219" xr:uid="{00000000-0005-0000-0000-000012440000}"/>
    <cellStyle name="Normal 11 4 3 2" xfId="13220" xr:uid="{00000000-0005-0000-0000-000013440000}"/>
    <cellStyle name="Normal 11 4 3 2 2" xfId="13221" xr:uid="{00000000-0005-0000-0000-000014440000}"/>
    <cellStyle name="Normal 11 4 3 2 2 2" xfId="13222" xr:uid="{00000000-0005-0000-0000-000015440000}"/>
    <cellStyle name="Normal 11 4 3 2 2 2 2" xfId="13223" xr:uid="{00000000-0005-0000-0000-000016440000}"/>
    <cellStyle name="Normal 11 4 3 2 2 2 2 2" xfId="13224" xr:uid="{00000000-0005-0000-0000-000017440000}"/>
    <cellStyle name="Normal 11 4 3 2 2 2 3" xfId="13225" xr:uid="{00000000-0005-0000-0000-000018440000}"/>
    <cellStyle name="Normal 11 4 3 2 2 3" xfId="13226" xr:uid="{00000000-0005-0000-0000-000019440000}"/>
    <cellStyle name="Normal 11 4 3 2 2 3 2" xfId="13227" xr:uid="{00000000-0005-0000-0000-00001A440000}"/>
    <cellStyle name="Normal 11 4 3 2 2 4" xfId="13228" xr:uid="{00000000-0005-0000-0000-00001B440000}"/>
    <cellStyle name="Normal 11 4 3 2 3" xfId="13229" xr:uid="{00000000-0005-0000-0000-00001C440000}"/>
    <cellStyle name="Normal 11 4 3 2 3 2" xfId="13230" xr:uid="{00000000-0005-0000-0000-00001D440000}"/>
    <cellStyle name="Normal 11 4 3 2 3 2 2" xfId="13231" xr:uid="{00000000-0005-0000-0000-00001E440000}"/>
    <cellStyle name="Normal 11 4 3 2 3 3" xfId="13232" xr:uid="{00000000-0005-0000-0000-00001F440000}"/>
    <cellStyle name="Normal 11 4 3 2 4" xfId="13233" xr:uid="{00000000-0005-0000-0000-000020440000}"/>
    <cellStyle name="Normal 11 4 3 2 4 2" xfId="13234" xr:uid="{00000000-0005-0000-0000-000021440000}"/>
    <cellStyle name="Normal 11 4 3 2 5" xfId="13235" xr:uid="{00000000-0005-0000-0000-000022440000}"/>
    <cellStyle name="Normal 11 4 3 3" xfId="13236" xr:uid="{00000000-0005-0000-0000-000023440000}"/>
    <cellStyle name="Normal 11 4 3 3 2" xfId="13237" xr:uid="{00000000-0005-0000-0000-000024440000}"/>
    <cellStyle name="Normal 11 4 3 3 2 2" xfId="13238" xr:uid="{00000000-0005-0000-0000-000025440000}"/>
    <cellStyle name="Normal 11 4 3 3 2 2 2" xfId="13239" xr:uid="{00000000-0005-0000-0000-000026440000}"/>
    <cellStyle name="Normal 11 4 3 3 2 3" xfId="13240" xr:uid="{00000000-0005-0000-0000-000027440000}"/>
    <cellStyle name="Normal 11 4 3 3 3" xfId="13241" xr:uid="{00000000-0005-0000-0000-000028440000}"/>
    <cellStyle name="Normal 11 4 3 3 3 2" xfId="13242" xr:uid="{00000000-0005-0000-0000-000029440000}"/>
    <cellStyle name="Normal 11 4 3 3 4" xfId="13243" xr:uid="{00000000-0005-0000-0000-00002A440000}"/>
    <cellStyle name="Normal 11 4 3 4" xfId="13244" xr:uid="{00000000-0005-0000-0000-00002B440000}"/>
    <cellStyle name="Normal 11 4 3 4 2" xfId="13245" xr:uid="{00000000-0005-0000-0000-00002C440000}"/>
    <cellStyle name="Normal 11 4 3 4 2 2" xfId="13246" xr:uid="{00000000-0005-0000-0000-00002D440000}"/>
    <cellStyle name="Normal 11 4 3 4 3" xfId="13247" xr:uid="{00000000-0005-0000-0000-00002E440000}"/>
    <cellStyle name="Normal 11 4 3 5" xfId="13248" xr:uid="{00000000-0005-0000-0000-00002F440000}"/>
    <cellStyle name="Normal 11 4 3 5 2" xfId="13249" xr:uid="{00000000-0005-0000-0000-000030440000}"/>
    <cellStyle name="Normal 11 4 3 6" xfId="13250" xr:uid="{00000000-0005-0000-0000-000031440000}"/>
    <cellStyle name="Normal 11 4 4" xfId="13251" xr:uid="{00000000-0005-0000-0000-000032440000}"/>
    <cellStyle name="Normal 11 4 4 2" xfId="13252" xr:uid="{00000000-0005-0000-0000-000033440000}"/>
    <cellStyle name="Normal 11 4 4 2 2" xfId="13253" xr:uid="{00000000-0005-0000-0000-000034440000}"/>
    <cellStyle name="Normal 11 4 4 2 2 2" xfId="13254" xr:uid="{00000000-0005-0000-0000-000035440000}"/>
    <cellStyle name="Normal 11 4 4 2 2 2 2" xfId="13255" xr:uid="{00000000-0005-0000-0000-000036440000}"/>
    <cellStyle name="Normal 11 4 4 2 2 3" xfId="13256" xr:uid="{00000000-0005-0000-0000-000037440000}"/>
    <cellStyle name="Normal 11 4 4 2 3" xfId="13257" xr:uid="{00000000-0005-0000-0000-000038440000}"/>
    <cellStyle name="Normal 11 4 4 2 3 2" xfId="13258" xr:uid="{00000000-0005-0000-0000-000039440000}"/>
    <cellStyle name="Normal 11 4 4 2 4" xfId="13259" xr:uid="{00000000-0005-0000-0000-00003A440000}"/>
    <cellStyle name="Normal 11 4 4 3" xfId="13260" xr:uid="{00000000-0005-0000-0000-00003B440000}"/>
    <cellStyle name="Normal 11 4 4 3 2" xfId="13261" xr:uid="{00000000-0005-0000-0000-00003C440000}"/>
    <cellStyle name="Normal 11 4 4 3 2 2" xfId="13262" xr:uid="{00000000-0005-0000-0000-00003D440000}"/>
    <cellStyle name="Normal 11 4 4 3 3" xfId="13263" xr:uid="{00000000-0005-0000-0000-00003E440000}"/>
    <cellStyle name="Normal 11 4 4 4" xfId="13264" xr:uid="{00000000-0005-0000-0000-00003F440000}"/>
    <cellStyle name="Normal 11 4 4 4 2" xfId="13265" xr:uid="{00000000-0005-0000-0000-000040440000}"/>
    <cellStyle name="Normal 11 4 4 5" xfId="13266" xr:uid="{00000000-0005-0000-0000-000041440000}"/>
    <cellStyle name="Normal 11 4 5" xfId="13267" xr:uid="{00000000-0005-0000-0000-000042440000}"/>
    <cellStyle name="Normal 11 4 5 2" xfId="13268" xr:uid="{00000000-0005-0000-0000-000043440000}"/>
    <cellStyle name="Normal 11 4 5 2 2" xfId="13269" xr:uid="{00000000-0005-0000-0000-000044440000}"/>
    <cellStyle name="Normal 11 4 5 2 2 2" xfId="13270" xr:uid="{00000000-0005-0000-0000-000045440000}"/>
    <cellStyle name="Normal 11 4 5 2 3" xfId="13271" xr:uid="{00000000-0005-0000-0000-000046440000}"/>
    <cellStyle name="Normal 11 4 5 3" xfId="13272" xr:uid="{00000000-0005-0000-0000-000047440000}"/>
    <cellStyle name="Normal 11 4 5 3 2" xfId="13273" xr:uid="{00000000-0005-0000-0000-000048440000}"/>
    <cellStyle name="Normal 11 4 5 4" xfId="13274" xr:uid="{00000000-0005-0000-0000-000049440000}"/>
    <cellStyle name="Normal 11 4 6" xfId="13275" xr:uid="{00000000-0005-0000-0000-00004A440000}"/>
    <cellStyle name="Normal 11 4 6 2" xfId="13276" xr:uid="{00000000-0005-0000-0000-00004B440000}"/>
    <cellStyle name="Normal 11 4 6 2 2" xfId="13277" xr:uid="{00000000-0005-0000-0000-00004C440000}"/>
    <cellStyle name="Normal 11 4 6 3" xfId="13278" xr:uid="{00000000-0005-0000-0000-00004D440000}"/>
    <cellStyle name="Normal 11 4 7" xfId="13279" xr:uid="{00000000-0005-0000-0000-00004E440000}"/>
    <cellStyle name="Normal 11 4 7 2" xfId="13280" xr:uid="{00000000-0005-0000-0000-00004F440000}"/>
    <cellStyle name="Normal 11 4 8" xfId="13281" xr:uid="{00000000-0005-0000-0000-000050440000}"/>
    <cellStyle name="Normal 11 5" xfId="13282" xr:uid="{00000000-0005-0000-0000-000051440000}"/>
    <cellStyle name="Normal 11 5 2" xfId="13283" xr:uid="{00000000-0005-0000-0000-000052440000}"/>
    <cellStyle name="Normal 11 5 2 2" xfId="13284" xr:uid="{00000000-0005-0000-0000-000053440000}"/>
    <cellStyle name="Normal 11 5 2 2 2" xfId="13285" xr:uid="{00000000-0005-0000-0000-000054440000}"/>
    <cellStyle name="Normal 11 5 2 2 2 2" xfId="13286" xr:uid="{00000000-0005-0000-0000-000055440000}"/>
    <cellStyle name="Normal 11 5 2 2 2 2 2" xfId="13287" xr:uid="{00000000-0005-0000-0000-000056440000}"/>
    <cellStyle name="Normal 11 5 2 2 2 2 2 2" xfId="13288" xr:uid="{00000000-0005-0000-0000-000057440000}"/>
    <cellStyle name="Normal 11 5 2 2 2 2 3" xfId="13289" xr:uid="{00000000-0005-0000-0000-000058440000}"/>
    <cellStyle name="Normal 11 5 2 2 2 3" xfId="13290" xr:uid="{00000000-0005-0000-0000-000059440000}"/>
    <cellStyle name="Normal 11 5 2 2 2 3 2" xfId="13291" xr:uid="{00000000-0005-0000-0000-00005A440000}"/>
    <cellStyle name="Normal 11 5 2 2 2 4" xfId="13292" xr:uid="{00000000-0005-0000-0000-00005B440000}"/>
    <cellStyle name="Normal 11 5 2 2 3" xfId="13293" xr:uid="{00000000-0005-0000-0000-00005C440000}"/>
    <cellStyle name="Normal 11 5 2 2 3 2" xfId="13294" xr:uid="{00000000-0005-0000-0000-00005D440000}"/>
    <cellStyle name="Normal 11 5 2 2 3 2 2" xfId="13295" xr:uid="{00000000-0005-0000-0000-00005E440000}"/>
    <cellStyle name="Normal 11 5 2 2 3 3" xfId="13296" xr:uid="{00000000-0005-0000-0000-00005F440000}"/>
    <cellStyle name="Normal 11 5 2 2 4" xfId="13297" xr:uid="{00000000-0005-0000-0000-000060440000}"/>
    <cellStyle name="Normal 11 5 2 2 4 2" xfId="13298" xr:uid="{00000000-0005-0000-0000-000061440000}"/>
    <cellStyle name="Normal 11 5 2 2 5" xfId="13299" xr:uid="{00000000-0005-0000-0000-000062440000}"/>
    <cellStyle name="Normal 11 5 2 3" xfId="13300" xr:uid="{00000000-0005-0000-0000-000063440000}"/>
    <cellStyle name="Normal 11 5 2 3 2" xfId="13301" xr:uid="{00000000-0005-0000-0000-000064440000}"/>
    <cellStyle name="Normal 11 5 2 3 2 2" xfId="13302" xr:uid="{00000000-0005-0000-0000-000065440000}"/>
    <cellStyle name="Normal 11 5 2 3 2 2 2" xfId="13303" xr:uid="{00000000-0005-0000-0000-000066440000}"/>
    <cellStyle name="Normal 11 5 2 3 2 3" xfId="13304" xr:uid="{00000000-0005-0000-0000-000067440000}"/>
    <cellStyle name="Normal 11 5 2 3 3" xfId="13305" xr:uid="{00000000-0005-0000-0000-000068440000}"/>
    <cellStyle name="Normal 11 5 2 3 3 2" xfId="13306" xr:uid="{00000000-0005-0000-0000-000069440000}"/>
    <cellStyle name="Normal 11 5 2 3 4" xfId="13307" xr:uid="{00000000-0005-0000-0000-00006A440000}"/>
    <cellStyle name="Normal 11 5 2 4" xfId="13308" xr:uid="{00000000-0005-0000-0000-00006B440000}"/>
    <cellStyle name="Normal 11 5 2 4 2" xfId="13309" xr:uid="{00000000-0005-0000-0000-00006C440000}"/>
    <cellStyle name="Normal 11 5 2 4 2 2" xfId="13310" xr:uid="{00000000-0005-0000-0000-00006D440000}"/>
    <cellStyle name="Normal 11 5 2 4 3" xfId="13311" xr:uid="{00000000-0005-0000-0000-00006E440000}"/>
    <cellStyle name="Normal 11 5 2 5" xfId="13312" xr:uid="{00000000-0005-0000-0000-00006F440000}"/>
    <cellStyle name="Normal 11 5 2 5 2" xfId="13313" xr:uid="{00000000-0005-0000-0000-000070440000}"/>
    <cellStyle name="Normal 11 5 2 6" xfId="13314" xr:uid="{00000000-0005-0000-0000-000071440000}"/>
    <cellStyle name="Normal 11 5 3" xfId="13315" xr:uid="{00000000-0005-0000-0000-000072440000}"/>
    <cellStyle name="Normal 11 5 3 2" xfId="13316" xr:uid="{00000000-0005-0000-0000-000073440000}"/>
    <cellStyle name="Normal 11 5 3 2 2" xfId="13317" xr:uid="{00000000-0005-0000-0000-000074440000}"/>
    <cellStyle name="Normal 11 5 3 2 2 2" xfId="13318" xr:uid="{00000000-0005-0000-0000-000075440000}"/>
    <cellStyle name="Normal 11 5 3 2 2 2 2" xfId="13319" xr:uid="{00000000-0005-0000-0000-000076440000}"/>
    <cellStyle name="Normal 11 5 3 2 2 3" xfId="13320" xr:uid="{00000000-0005-0000-0000-000077440000}"/>
    <cellStyle name="Normal 11 5 3 2 3" xfId="13321" xr:uid="{00000000-0005-0000-0000-000078440000}"/>
    <cellStyle name="Normal 11 5 3 2 3 2" xfId="13322" xr:uid="{00000000-0005-0000-0000-000079440000}"/>
    <cellStyle name="Normal 11 5 3 2 4" xfId="13323" xr:uid="{00000000-0005-0000-0000-00007A440000}"/>
    <cellStyle name="Normal 11 5 3 3" xfId="13324" xr:uid="{00000000-0005-0000-0000-00007B440000}"/>
    <cellStyle name="Normal 11 5 3 3 2" xfId="13325" xr:uid="{00000000-0005-0000-0000-00007C440000}"/>
    <cellStyle name="Normal 11 5 3 3 2 2" xfId="13326" xr:uid="{00000000-0005-0000-0000-00007D440000}"/>
    <cellStyle name="Normal 11 5 3 3 3" xfId="13327" xr:uid="{00000000-0005-0000-0000-00007E440000}"/>
    <cellStyle name="Normal 11 5 3 4" xfId="13328" xr:uid="{00000000-0005-0000-0000-00007F440000}"/>
    <cellStyle name="Normal 11 5 3 4 2" xfId="13329" xr:uid="{00000000-0005-0000-0000-000080440000}"/>
    <cellStyle name="Normal 11 5 3 5" xfId="13330" xr:uid="{00000000-0005-0000-0000-000081440000}"/>
    <cellStyle name="Normal 11 5 4" xfId="13331" xr:uid="{00000000-0005-0000-0000-000082440000}"/>
    <cellStyle name="Normal 11 5 4 2" xfId="13332" xr:uid="{00000000-0005-0000-0000-000083440000}"/>
    <cellStyle name="Normal 11 5 4 2 2" xfId="13333" xr:uid="{00000000-0005-0000-0000-000084440000}"/>
    <cellStyle name="Normal 11 5 4 2 2 2" xfId="13334" xr:uid="{00000000-0005-0000-0000-000085440000}"/>
    <cellStyle name="Normal 11 5 4 2 3" xfId="13335" xr:uid="{00000000-0005-0000-0000-000086440000}"/>
    <cellStyle name="Normal 11 5 4 3" xfId="13336" xr:uid="{00000000-0005-0000-0000-000087440000}"/>
    <cellStyle name="Normal 11 5 4 3 2" xfId="13337" xr:uid="{00000000-0005-0000-0000-000088440000}"/>
    <cellStyle name="Normal 11 5 4 4" xfId="13338" xr:uid="{00000000-0005-0000-0000-000089440000}"/>
    <cellStyle name="Normal 11 5 5" xfId="13339" xr:uid="{00000000-0005-0000-0000-00008A440000}"/>
    <cellStyle name="Normal 11 5 5 2" xfId="13340" xr:uid="{00000000-0005-0000-0000-00008B440000}"/>
    <cellStyle name="Normal 11 5 5 2 2" xfId="13341" xr:uid="{00000000-0005-0000-0000-00008C440000}"/>
    <cellStyle name="Normal 11 5 5 3" xfId="13342" xr:uid="{00000000-0005-0000-0000-00008D440000}"/>
    <cellStyle name="Normal 11 5 6" xfId="13343" xr:uid="{00000000-0005-0000-0000-00008E440000}"/>
    <cellStyle name="Normal 11 5 6 2" xfId="13344" xr:uid="{00000000-0005-0000-0000-00008F440000}"/>
    <cellStyle name="Normal 11 5 7" xfId="13345" xr:uid="{00000000-0005-0000-0000-000090440000}"/>
    <cellStyle name="Normal 11 6" xfId="13346" xr:uid="{00000000-0005-0000-0000-000091440000}"/>
    <cellStyle name="Normal 11 6 2" xfId="13347" xr:uid="{00000000-0005-0000-0000-000092440000}"/>
    <cellStyle name="Normal 11 6 2 2" xfId="13348" xr:uid="{00000000-0005-0000-0000-000093440000}"/>
    <cellStyle name="Normal 11 6 2 2 2" xfId="13349" xr:uid="{00000000-0005-0000-0000-000094440000}"/>
    <cellStyle name="Normal 11 6 2 2 2 2" xfId="13350" xr:uid="{00000000-0005-0000-0000-000095440000}"/>
    <cellStyle name="Normal 11 6 2 2 2 2 2" xfId="13351" xr:uid="{00000000-0005-0000-0000-000096440000}"/>
    <cellStyle name="Normal 11 6 2 2 2 3" xfId="13352" xr:uid="{00000000-0005-0000-0000-000097440000}"/>
    <cellStyle name="Normal 11 6 2 2 3" xfId="13353" xr:uid="{00000000-0005-0000-0000-000098440000}"/>
    <cellStyle name="Normal 11 6 2 2 3 2" xfId="13354" xr:uid="{00000000-0005-0000-0000-000099440000}"/>
    <cellStyle name="Normal 11 6 2 2 4" xfId="13355" xr:uid="{00000000-0005-0000-0000-00009A440000}"/>
    <cellStyle name="Normal 11 6 2 3" xfId="13356" xr:uid="{00000000-0005-0000-0000-00009B440000}"/>
    <cellStyle name="Normal 11 6 2 3 2" xfId="13357" xr:uid="{00000000-0005-0000-0000-00009C440000}"/>
    <cellStyle name="Normal 11 6 2 3 2 2" xfId="13358" xr:uid="{00000000-0005-0000-0000-00009D440000}"/>
    <cellStyle name="Normal 11 6 2 3 3" xfId="13359" xr:uid="{00000000-0005-0000-0000-00009E440000}"/>
    <cellStyle name="Normal 11 6 2 4" xfId="13360" xr:uid="{00000000-0005-0000-0000-00009F440000}"/>
    <cellStyle name="Normal 11 6 2 4 2" xfId="13361" xr:uid="{00000000-0005-0000-0000-0000A0440000}"/>
    <cellStyle name="Normal 11 6 2 5" xfId="13362" xr:uid="{00000000-0005-0000-0000-0000A1440000}"/>
    <cellStyle name="Normal 11 6 3" xfId="13363" xr:uid="{00000000-0005-0000-0000-0000A2440000}"/>
    <cellStyle name="Normal 11 6 3 2" xfId="13364" xr:uid="{00000000-0005-0000-0000-0000A3440000}"/>
    <cellStyle name="Normal 11 6 3 2 2" xfId="13365" xr:uid="{00000000-0005-0000-0000-0000A4440000}"/>
    <cellStyle name="Normal 11 6 3 2 2 2" xfId="13366" xr:uid="{00000000-0005-0000-0000-0000A5440000}"/>
    <cellStyle name="Normal 11 6 3 2 3" xfId="13367" xr:uid="{00000000-0005-0000-0000-0000A6440000}"/>
    <cellStyle name="Normal 11 6 3 3" xfId="13368" xr:uid="{00000000-0005-0000-0000-0000A7440000}"/>
    <cellStyle name="Normal 11 6 3 3 2" xfId="13369" xr:uid="{00000000-0005-0000-0000-0000A8440000}"/>
    <cellStyle name="Normal 11 6 3 4" xfId="13370" xr:uid="{00000000-0005-0000-0000-0000A9440000}"/>
    <cellStyle name="Normal 11 6 4" xfId="13371" xr:uid="{00000000-0005-0000-0000-0000AA440000}"/>
    <cellStyle name="Normal 11 6 4 2" xfId="13372" xr:uid="{00000000-0005-0000-0000-0000AB440000}"/>
    <cellStyle name="Normal 11 6 4 2 2" xfId="13373" xr:uid="{00000000-0005-0000-0000-0000AC440000}"/>
    <cellStyle name="Normal 11 6 4 3" xfId="13374" xr:uid="{00000000-0005-0000-0000-0000AD440000}"/>
    <cellStyle name="Normal 11 6 5" xfId="13375" xr:uid="{00000000-0005-0000-0000-0000AE440000}"/>
    <cellStyle name="Normal 11 6 5 2" xfId="13376" xr:uid="{00000000-0005-0000-0000-0000AF440000}"/>
    <cellStyle name="Normal 11 6 6" xfId="13377" xr:uid="{00000000-0005-0000-0000-0000B0440000}"/>
    <cellStyle name="Normal 11 7" xfId="13378" xr:uid="{00000000-0005-0000-0000-0000B1440000}"/>
    <cellStyle name="Normal 11 7 2" xfId="13379" xr:uid="{00000000-0005-0000-0000-0000B2440000}"/>
    <cellStyle name="Normal 11 7 2 2" xfId="13380" xr:uid="{00000000-0005-0000-0000-0000B3440000}"/>
    <cellStyle name="Normal 11 7 2 2 2" xfId="13381" xr:uid="{00000000-0005-0000-0000-0000B4440000}"/>
    <cellStyle name="Normal 11 7 2 2 2 2" xfId="13382" xr:uid="{00000000-0005-0000-0000-0000B5440000}"/>
    <cellStyle name="Normal 11 7 2 2 3" xfId="13383" xr:uid="{00000000-0005-0000-0000-0000B6440000}"/>
    <cellStyle name="Normal 11 7 2 3" xfId="13384" xr:uid="{00000000-0005-0000-0000-0000B7440000}"/>
    <cellStyle name="Normal 11 7 2 3 2" xfId="13385" xr:uid="{00000000-0005-0000-0000-0000B8440000}"/>
    <cellStyle name="Normal 11 7 2 4" xfId="13386" xr:uid="{00000000-0005-0000-0000-0000B9440000}"/>
    <cellStyle name="Normal 11 7 3" xfId="13387" xr:uid="{00000000-0005-0000-0000-0000BA440000}"/>
    <cellStyle name="Normal 11 7 3 2" xfId="13388" xr:uid="{00000000-0005-0000-0000-0000BB440000}"/>
    <cellStyle name="Normal 11 7 3 2 2" xfId="13389" xr:uid="{00000000-0005-0000-0000-0000BC440000}"/>
    <cellStyle name="Normal 11 7 3 3" xfId="13390" xr:uid="{00000000-0005-0000-0000-0000BD440000}"/>
    <cellStyle name="Normal 11 7 4" xfId="13391" xr:uid="{00000000-0005-0000-0000-0000BE440000}"/>
    <cellStyle name="Normal 11 7 4 2" xfId="13392" xr:uid="{00000000-0005-0000-0000-0000BF440000}"/>
    <cellStyle name="Normal 11 7 5" xfId="13393" xr:uid="{00000000-0005-0000-0000-0000C0440000}"/>
    <cellStyle name="Normal 11 8" xfId="13394" xr:uid="{00000000-0005-0000-0000-0000C1440000}"/>
    <cellStyle name="Normal 11 8 2" xfId="13395" xr:uid="{00000000-0005-0000-0000-0000C2440000}"/>
    <cellStyle name="Normal 11 8 2 2" xfId="13396" xr:uid="{00000000-0005-0000-0000-0000C3440000}"/>
    <cellStyle name="Normal 11 8 2 2 2" xfId="13397" xr:uid="{00000000-0005-0000-0000-0000C4440000}"/>
    <cellStyle name="Normal 11 8 2 3" xfId="13398" xr:uid="{00000000-0005-0000-0000-0000C5440000}"/>
    <cellStyle name="Normal 11 8 3" xfId="13399" xr:uid="{00000000-0005-0000-0000-0000C6440000}"/>
    <cellStyle name="Normal 11 8 3 2" xfId="13400" xr:uid="{00000000-0005-0000-0000-0000C7440000}"/>
    <cellStyle name="Normal 11 8 4" xfId="13401" xr:uid="{00000000-0005-0000-0000-0000C8440000}"/>
    <cellStyle name="Normal 11 9" xfId="13402" xr:uid="{00000000-0005-0000-0000-0000C9440000}"/>
    <cellStyle name="Normal 11 9 2" xfId="13403" xr:uid="{00000000-0005-0000-0000-0000CA440000}"/>
    <cellStyle name="Normal 11 9 2 2" xfId="13404" xr:uid="{00000000-0005-0000-0000-0000CB440000}"/>
    <cellStyle name="Normal 11 9 3" xfId="13405" xr:uid="{00000000-0005-0000-0000-0000CC440000}"/>
    <cellStyle name="Normal 12" xfId="13406" xr:uid="{00000000-0005-0000-0000-0000CD440000}"/>
    <cellStyle name="Normal 12 2" xfId="13407" xr:uid="{00000000-0005-0000-0000-0000CE440000}"/>
    <cellStyle name="Normal 12 2 2" xfId="13408" xr:uid="{00000000-0005-0000-0000-0000CF440000}"/>
    <cellStyle name="Normal 12 2 3" xfId="18809" xr:uid="{00000000-0005-0000-0000-0000D0440000}"/>
    <cellStyle name="Normal 12 3" xfId="13409" xr:uid="{00000000-0005-0000-0000-0000D1440000}"/>
    <cellStyle name="Normal 12 3 2" xfId="18782" xr:uid="{00000000-0005-0000-0000-0000D2440000}"/>
    <cellStyle name="Normal 12 4" xfId="18703" xr:uid="{00000000-0005-0000-0000-0000D3440000}"/>
    <cellStyle name="Normal 13" xfId="13410" xr:uid="{00000000-0005-0000-0000-0000D4440000}"/>
    <cellStyle name="Normal 13 10" xfId="13411" xr:uid="{00000000-0005-0000-0000-0000D5440000}"/>
    <cellStyle name="Normal 13 2" xfId="13412" xr:uid="{00000000-0005-0000-0000-0000D6440000}"/>
    <cellStyle name="Normal 13 2 2" xfId="13413" xr:uid="{00000000-0005-0000-0000-0000D7440000}"/>
    <cellStyle name="Normal 13 2 2 2" xfId="13414" xr:uid="{00000000-0005-0000-0000-0000D8440000}"/>
    <cellStyle name="Normal 13 2 2 2 2" xfId="13415" xr:uid="{00000000-0005-0000-0000-0000D9440000}"/>
    <cellStyle name="Normal 13 2 2 2 2 2" xfId="13416" xr:uid="{00000000-0005-0000-0000-0000DA440000}"/>
    <cellStyle name="Normal 13 2 2 2 2 2 2" xfId="13417" xr:uid="{00000000-0005-0000-0000-0000DB440000}"/>
    <cellStyle name="Normal 13 2 2 2 2 2 2 2" xfId="13418" xr:uid="{00000000-0005-0000-0000-0000DC440000}"/>
    <cellStyle name="Normal 13 2 2 2 2 2 2 2 2" xfId="13419" xr:uid="{00000000-0005-0000-0000-0000DD440000}"/>
    <cellStyle name="Normal 13 2 2 2 2 2 2 2 2 2" xfId="13420" xr:uid="{00000000-0005-0000-0000-0000DE440000}"/>
    <cellStyle name="Normal 13 2 2 2 2 2 2 2 3" xfId="13421" xr:uid="{00000000-0005-0000-0000-0000DF440000}"/>
    <cellStyle name="Normal 13 2 2 2 2 2 2 3" xfId="13422" xr:uid="{00000000-0005-0000-0000-0000E0440000}"/>
    <cellStyle name="Normal 13 2 2 2 2 2 2 3 2" xfId="13423" xr:uid="{00000000-0005-0000-0000-0000E1440000}"/>
    <cellStyle name="Normal 13 2 2 2 2 2 2 4" xfId="13424" xr:uid="{00000000-0005-0000-0000-0000E2440000}"/>
    <cellStyle name="Normal 13 2 2 2 2 2 3" xfId="13425" xr:uid="{00000000-0005-0000-0000-0000E3440000}"/>
    <cellStyle name="Normal 13 2 2 2 2 2 3 2" xfId="13426" xr:uid="{00000000-0005-0000-0000-0000E4440000}"/>
    <cellStyle name="Normal 13 2 2 2 2 2 3 2 2" xfId="13427" xr:uid="{00000000-0005-0000-0000-0000E5440000}"/>
    <cellStyle name="Normal 13 2 2 2 2 2 3 3" xfId="13428" xr:uid="{00000000-0005-0000-0000-0000E6440000}"/>
    <cellStyle name="Normal 13 2 2 2 2 2 4" xfId="13429" xr:uid="{00000000-0005-0000-0000-0000E7440000}"/>
    <cellStyle name="Normal 13 2 2 2 2 2 4 2" xfId="13430" xr:uid="{00000000-0005-0000-0000-0000E8440000}"/>
    <cellStyle name="Normal 13 2 2 2 2 2 5" xfId="13431" xr:uid="{00000000-0005-0000-0000-0000E9440000}"/>
    <cellStyle name="Normal 13 2 2 2 2 3" xfId="13432" xr:uid="{00000000-0005-0000-0000-0000EA440000}"/>
    <cellStyle name="Normal 13 2 2 2 2 3 2" xfId="13433" xr:uid="{00000000-0005-0000-0000-0000EB440000}"/>
    <cellStyle name="Normal 13 2 2 2 2 3 2 2" xfId="13434" xr:uid="{00000000-0005-0000-0000-0000EC440000}"/>
    <cellStyle name="Normal 13 2 2 2 2 3 2 2 2" xfId="13435" xr:uid="{00000000-0005-0000-0000-0000ED440000}"/>
    <cellStyle name="Normal 13 2 2 2 2 3 2 3" xfId="13436" xr:uid="{00000000-0005-0000-0000-0000EE440000}"/>
    <cellStyle name="Normal 13 2 2 2 2 3 3" xfId="13437" xr:uid="{00000000-0005-0000-0000-0000EF440000}"/>
    <cellStyle name="Normal 13 2 2 2 2 3 3 2" xfId="13438" xr:uid="{00000000-0005-0000-0000-0000F0440000}"/>
    <cellStyle name="Normal 13 2 2 2 2 3 4" xfId="13439" xr:uid="{00000000-0005-0000-0000-0000F1440000}"/>
    <cellStyle name="Normal 13 2 2 2 2 4" xfId="13440" xr:uid="{00000000-0005-0000-0000-0000F2440000}"/>
    <cellStyle name="Normal 13 2 2 2 2 4 2" xfId="13441" xr:uid="{00000000-0005-0000-0000-0000F3440000}"/>
    <cellStyle name="Normal 13 2 2 2 2 4 2 2" xfId="13442" xr:uid="{00000000-0005-0000-0000-0000F4440000}"/>
    <cellStyle name="Normal 13 2 2 2 2 4 3" xfId="13443" xr:uid="{00000000-0005-0000-0000-0000F5440000}"/>
    <cellStyle name="Normal 13 2 2 2 2 5" xfId="13444" xr:uid="{00000000-0005-0000-0000-0000F6440000}"/>
    <cellStyle name="Normal 13 2 2 2 2 5 2" xfId="13445" xr:uid="{00000000-0005-0000-0000-0000F7440000}"/>
    <cellStyle name="Normal 13 2 2 2 2 6" xfId="13446" xr:uid="{00000000-0005-0000-0000-0000F8440000}"/>
    <cellStyle name="Normal 13 2 2 2 3" xfId="13447" xr:uid="{00000000-0005-0000-0000-0000F9440000}"/>
    <cellStyle name="Normal 13 2 2 2 3 2" xfId="13448" xr:uid="{00000000-0005-0000-0000-0000FA440000}"/>
    <cellStyle name="Normal 13 2 2 2 3 2 2" xfId="13449" xr:uid="{00000000-0005-0000-0000-0000FB440000}"/>
    <cellStyle name="Normal 13 2 2 2 3 2 2 2" xfId="13450" xr:uid="{00000000-0005-0000-0000-0000FC440000}"/>
    <cellStyle name="Normal 13 2 2 2 3 2 2 2 2" xfId="13451" xr:uid="{00000000-0005-0000-0000-0000FD440000}"/>
    <cellStyle name="Normal 13 2 2 2 3 2 2 3" xfId="13452" xr:uid="{00000000-0005-0000-0000-0000FE440000}"/>
    <cellStyle name="Normal 13 2 2 2 3 2 3" xfId="13453" xr:uid="{00000000-0005-0000-0000-0000FF440000}"/>
    <cellStyle name="Normal 13 2 2 2 3 2 3 2" xfId="13454" xr:uid="{00000000-0005-0000-0000-000000450000}"/>
    <cellStyle name="Normal 13 2 2 2 3 2 4" xfId="13455" xr:uid="{00000000-0005-0000-0000-000001450000}"/>
    <cellStyle name="Normal 13 2 2 2 3 3" xfId="13456" xr:uid="{00000000-0005-0000-0000-000002450000}"/>
    <cellStyle name="Normal 13 2 2 2 3 3 2" xfId="13457" xr:uid="{00000000-0005-0000-0000-000003450000}"/>
    <cellStyle name="Normal 13 2 2 2 3 3 2 2" xfId="13458" xr:uid="{00000000-0005-0000-0000-000004450000}"/>
    <cellStyle name="Normal 13 2 2 2 3 3 3" xfId="13459" xr:uid="{00000000-0005-0000-0000-000005450000}"/>
    <cellStyle name="Normal 13 2 2 2 3 4" xfId="13460" xr:uid="{00000000-0005-0000-0000-000006450000}"/>
    <cellStyle name="Normal 13 2 2 2 3 4 2" xfId="13461" xr:uid="{00000000-0005-0000-0000-000007450000}"/>
    <cellStyle name="Normal 13 2 2 2 3 5" xfId="13462" xr:uid="{00000000-0005-0000-0000-000008450000}"/>
    <cellStyle name="Normal 13 2 2 2 4" xfId="13463" xr:uid="{00000000-0005-0000-0000-000009450000}"/>
    <cellStyle name="Normal 13 2 2 2 4 2" xfId="13464" xr:uid="{00000000-0005-0000-0000-00000A450000}"/>
    <cellStyle name="Normal 13 2 2 2 4 2 2" xfId="13465" xr:uid="{00000000-0005-0000-0000-00000B450000}"/>
    <cellStyle name="Normal 13 2 2 2 4 2 2 2" xfId="13466" xr:uid="{00000000-0005-0000-0000-00000C450000}"/>
    <cellStyle name="Normal 13 2 2 2 4 2 3" xfId="13467" xr:uid="{00000000-0005-0000-0000-00000D450000}"/>
    <cellStyle name="Normal 13 2 2 2 4 3" xfId="13468" xr:uid="{00000000-0005-0000-0000-00000E450000}"/>
    <cellStyle name="Normal 13 2 2 2 4 3 2" xfId="13469" xr:uid="{00000000-0005-0000-0000-00000F450000}"/>
    <cellStyle name="Normal 13 2 2 2 4 4" xfId="13470" xr:uid="{00000000-0005-0000-0000-000010450000}"/>
    <cellStyle name="Normal 13 2 2 2 5" xfId="13471" xr:uid="{00000000-0005-0000-0000-000011450000}"/>
    <cellStyle name="Normal 13 2 2 2 5 2" xfId="13472" xr:uid="{00000000-0005-0000-0000-000012450000}"/>
    <cellStyle name="Normal 13 2 2 2 5 2 2" xfId="13473" xr:uid="{00000000-0005-0000-0000-000013450000}"/>
    <cellStyle name="Normal 13 2 2 2 5 3" xfId="13474" xr:uid="{00000000-0005-0000-0000-000014450000}"/>
    <cellStyle name="Normal 13 2 2 2 6" xfId="13475" xr:uid="{00000000-0005-0000-0000-000015450000}"/>
    <cellStyle name="Normal 13 2 2 2 6 2" xfId="13476" xr:uid="{00000000-0005-0000-0000-000016450000}"/>
    <cellStyle name="Normal 13 2 2 2 7" xfId="13477" xr:uid="{00000000-0005-0000-0000-000017450000}"/>
    <cellStyle name="Normal 13 2 2 3" xfId="13478" xr:uid="{00000000-0005-0000-0000-000018450000}"/>
    <cellStyle name="Normal 13 2 2 3 2" xfId="13479" xr:uid="{00000000-0005-0000-0000-000019450000}"/>
    <cellStyle name="Normal 13 2 2 3 2 2" xfId="13480" xr:uid="{00000000-0005-0000-0000-00001A450000}"/>
    <cellStyle name="Normal 13 2 2 3 2 2 2" xfId="13481" xr:uid="{00000000-0005-0000-0000-00001B450000}"/>
    <cellStyle name="Normal 13 2 2 3 2 2 2 2" xfId="13482" xr:uid="{00000000-0005-0000-0000-00001C450000}"/>
    <cellStyle name="Normal 13 2 2 3 2 2 2 2 2" xfId="13483" xr:uid="{00000000-0005-0000-0000-00001D450000}"/>
    <cellStyle name="Normal 13 2 2 3 2 2 2 3" xfId="13484" xr:uid="{00000000-0005-0000-0000-00001E450000}"/>
    <cellStyle name="Normal 13 2 2 3 2 2 3" xfId="13485" xr:uid="{00000000-0005-0000-0000-00001F450000}"/>
    <cellStyle name="Normal 13 2 2 3 2 2 3 2" xfId="13486" xr:uid="{00000000-0005-0000-0000-000020450000}"/>
    <cellStyle name="Normal 13 2 2 3 2 2 4" xfId="13487" xr:uid="{00000000-0005-0000-0000-000021450000}"/>
    <cellStyle name="Normal 13 2 2 3 2 3" xfId="13488" xr:uid="{00000000-0005-0000-0000-000022450000}"/>
    <cellStyle name="Normal 13 2 2 3 2 3 2" xfId="13489" xr:uid="{00000000-0005-0000-0000-000023450000}"/>
    <cellStyle name="Normal 13 2 2 3 2 3 2 2" xfId="13490" xr:uid="{00000000-0005-0000-0000-000024450000}"/>
    <cellStyle name="Normal 13 2 2 3 2 3 3" xfId="13491" xr:uid="{00000000-0005-0000-0000-000025450000}"/>
    <cellStyle name="Normal 13 2 2 3 2 4" xfId="13492" xr:uid="{00000000-0005-0000-0000-000026450000}"/>
    <cellStyle name="Normal 13 2 2 3 2 4 2" xfId="13493" xr:uid="{00000000-0005-0000-0000-000027450000}"/>
    <cellStyle name="Normal 13 2 2 3 2 5" xfId="13494" xr:uid="{00000000-0005-0000-0000-000028450000}"/>
    <cellStyle name="Normal 13 2 2 3 3" xfId="13495" xr:uid="{00000000-0005-0000-0000-000029450000}"/>
    <cellStyle name="Normal 13 2 2 3 3 2" xfId="13496" xr:uid="{00000000-0005-0000-0000-00002A450000}"/>
    <cellStyle name="Normal 13 2 2 3 3 2 2" xfId="13497" xr:uid="{00000000-0005-0000-0000-00002B450000}"/>
    <cellStyle name="Normal 13 2 2 3 3 2 2 2" xfId="13498" xr:uid="{00000000-0005-0000-0000-00002C450000}"/>
    <cellStyle name="Normal 13 2 2 3 3 2 3" xfId="13499" xr:uid="{00000000-0005-0000-0000-00002D450000}"/>
    <cellStyle name="Normal 13 2 2 3 3 3" xfId="13500" xr:uid="{00000000-0005-0000-0000-00002E450000}"/>
    <cellStyle name="Normal 13 2 2 3 3 3 2" xfId="13501" xr:uid="{00000000-0005-0000-0000-00002F450000}"/>
    <cellStyle name="Normal 13 2 2 3 3 4" xfId="13502" xr:uid="{00000000-0005-0000-0000-000030450000}"/>
    <cellStyle name="Normal 13 2 2 3 4" xfId="13503" xr:uid="{00000000-0005-0000-0000-000031450000}"/>
    <cellStyle name="Normal 13 2 2 3 4 2" xfId="13504" xr:uid="{00000000-0005-0000-0000-000032450000}"/>
    <cellStyle name="Normal 13 2 2 3 4 2 2" xfId="13505" xr:uid="{00000000-0005-0000-0000-000033450000}"/>
    <cellStyle name="Normal 13 2 2 3 4 3" xfId="13506" xr:uid="{00000000-0005-0000-0000-000034450000}"/>
    <cellStyle name="Normal 13 2 2 3 5" xfId="13507" xr:uid="{00000000-0005-0000-0000-000035450000}"/>
    <cellStyle name="Normal 13 2 2 3 5 2" xfId="13508" xr:uid="{00000000-0005-0000-0000-000036450000}"/>
    <cellStyle name="Normal 13 2 2 3 6" xfId="13509" xr:uid="{00000000-0005-0000-0000-000037450000}"/>
    <cellStyle name="Normal 13 2 2 4" xfId="13510" xr:uid="{00000000-0005-0000-0000-000038450000}"/>
    <cellStyle name="Normal 13 2 2 4 2" xfId="13511" xr:uid="{00000000-0005-0000-0000-000039450000}"/>
    <cellStyle name="Normal 13 2 2 4 2 2" xfId="13512" xr:uid="{00000000-0005-0000-0000-00003A450000}"/>
    <cellStyle name="Normal 13 2 2 4 2 2 2" xfId="13513" xr:uid="{00000000-0005-0000-0000-00003B450000}"/>
    <cellStyle name="Normal 13 2 2 4 2 2 2 2" xfId="13514" xr:uid="{00000000-0005-0000-0000-00003C450000}"/>
    <cellStyle name="Normal 13 2 2 4 2 2 3" xfId="13515" xr:uid="{00000000-0005-0000-0000-00003D450000}"/>
    <cellStyle name="Normal 13 2 2 4 2 3" xfId="13516" xr:uid="{00000000-0005-0000-0000-00003E450000}"/>
    <cellStyle name="Normal 13 2 2 4 2 3 2" xfId="13517" xr:uid="{00000000-0005-0000-0000-00003F450000}"/>
    <cellStyle name="Normal 13 2 2 4 2 4" xfId="13518" xr:uid="{00000000-0005-0000-0000-000040450000}"/>
    <cellStyle name="Normal 13 2 2 4 3" xfId="13519" xr:uid="{00000000-0005-0000-0000-000041450000}"/>
    <cellStyle name="Normal 13 2 2 4 3 2" xfId="13520" xr:uid="{00000000-0005-0000-0000-000042450000}"/>
    <cellStyle name="Normal 13 2 2 4 3 2 2" xfId="13521" xr:uid="{00000000-0005-0000-0000-000043450000}"/>
    <cellStyle name="Normal 13 2 2 4 3 3" xfId="13522" xr:uid="{00000000-0005-0000-0000-000044450000}"/>
    <cellStyle name="Normal 13 2 2 4 4" xfId="13523" xr:uid="{00000000-0005-0000-0000-000045450000}"/>
    <cellStyle name="Normal 13 2 2 4 4 2" xfId="13524" xr:uid="{00000000-0005-0000-0000-000046450000}"/>
    <cellStyle name="Normal 13 2 2 4 5" xfId="13525" xr:uid="{00000000-0005-0000-0000-000047450000}"/>
    <cellStyle name="Normal 13 2 2 5" xfId="13526" xr:uid="{00000000-0005-0000-0000-000048450000}"/>
    <cellStyle name="Normal 13 2 2 5 2" xfId="13527" xr:uid="{00000000-0005-0000-0000-000049450000}"/>
    <cellStyle name="Normal 13 2 2 5 2 2" xfId="13528" xr:uid="{00000000-0005-0000-0000-00004A450000}"/>
    <cellStyle name="Normal 13 2 2 5 2 2 2" xfId="13529" xr:uid="{00000000-0005-0000-0000-00004B450000}"/>
    <cellStyle name="Normal 13 2 2 5 2 3" xfId="13530" xr:uid="{00000000-0005-0000-0000-00004C450000}"/>
    <cellStyle name="Normal 13 2 2 5 3" xfId="13531" xr:uid="{00000000-0005-0000-0000-00004D450000}"/>
    <cellStyle name="Normal 13 2 2 5 3 2" xfId="13532" xr:uid="{00000000-0005-0000-0000-00004E450000}"/>
    <cellStyle name="Normal 13 2 2 5 4" xfId="13533" xr:uid="{00000000-0005-0000-0000-00004F450000}"/>
    <cellStyle name="Normal 13 2 2 6" xfId="13534" xr:uid="{00000000-0005-0000-0000-000050450000}"/>
    <cellStyle name="Normal 13 2 2 6 2" xfId="13535" xr:uid="{00000000-0005-0000-0000-000051450000}"/>
    <cellStyle name="Normal 13 2 2 6 2 2" xfId="13536" xr:uid="{00000000-0005-0000-0000-000052450000}"/>
    <cellStyle name="Normal 13 2 2 6 3" xfId="13537" xr:uid="{00000000-0005-0000-0000-000053450000}"/>
    <cellStyle name="Normal 13 2 2 7" xfId="13538" xr:uid="{00000000-0005-0000-0000-000054450000}"/>
    <cellStyle name="Normal 13 2 2 7 2" xfId="13539" xr:uid="{00000000-0005-0000-0000-000055450000}"/>
    <cellStyle name="Normal 13 2 2 8" xfId="13540" xr:uid="{00000000-0005-0000-0000-000056450000}"/>
    <cellStyle name="Normal 13 2 3" xfId="13541" xr:uid="{00000000-0005-0000-0000-000057450000}"/>
    <cellStyle name="Normal 13 2 3 2" xfId="13542" xr:uid="{00000000-0005-0000-0000-000058450000}"/>
    <cellStyle name="Normal 13 2 3 2 2" xfId="13543" xr:uid="{00000000-0005-0000-0000-000059450000}"/>
    <cellStyle name="Normal 13 2 3 2 2 2" xfId="13544" xr:uid="{00000000-0005-0000-0000-00005A450000}"/>
    <cellStyle name="Normal 13 2 3 2 2 2 2" xfId="13545" xr:uid="{00000000-0005-0000-0000-00005B450000}"/>
    <cellStyle name="Normal 13 2 3 2 2 2 2 2" xfId="13546" xr:uid="{00000000-0005-0000-0000-00005C450000}"/>
    <cellStyle name="Normal 13 2 3 2 2 2 2 2 2" xfId="13547" xr:uid="{00000000-0005-0000-0000-00005D450000}"/>
    <cellStyle name="Normal 13 2 3 2 2 2 2 3" xfId="13548" xr:uid="{00000000-0005-0000-0000-00005E450000}"/>
    <cellStyle name="Normal 13 2 3 2 2 2 3" xfId="13549" xr:uid="{00000000-0005-0000-0000-00005F450000}"/>
    <cellStyle name="Normal 13 2 3 2 2 2 3 2" xfId="13550" xr:uid="{00000000-0005-0000-0000-000060450000}"/>
    <cellStyle name="Normal 13 2 3 2 2 2 4" xfId="13551" xr:uid="{00000000-0005-0000-0000-000061450000}"/>
    <cellStyle name="Normal 13 2 3 2 2 3" xfId="13552" xr:uid="{00000000-0005-0000-0000-000062450000}"/>
    <cellStyle name="Normal 13 2 3 2 2 3 2" xfId="13553" xr:uid="{00000000-0005-0000-0000-000063450000}"/>
    <cellStyle name="Normal 13 2 3 2 2 3 2 2" xfId="13554" xr:uid="{00000000-0005-0000-0000-000064450000}"/>
    <cellStyle name="Normal 13 2 3 2 2 3 3" xfId="13555" xr:uid="{00000000-0005-0000-0000-000065450000}"/>
    <cellStyle name="Normal 13 2 3 2 2 4" xfId="13556" xr:uid="{00000000-0005-0000-0000-000066450000}"/>
    <cellStyle name="Normal 13 2 3 2 2 4 2" xfId="13557" xr:uid="{00000000-0005-0000-0000-000067450000}"/>
    <cellStyle name="Normal 13 2 3 2 2 5" xfId="13558" xr:uid="{00000000-0005-0000-0000-000068450000}"/>
    <cellStyle name="Normal 13 2 3 2 3" xfId="13559" xr:uid="{00000000-0005-0000-0000-000069450000}"/>
    <cellStyle name="Normal 13 2 3 2 3 2" xfId="13560" xr:uid="{00000000-0005-0000-0000-00006A450000}"/>
    <cellStyle name="Normal 13 2 3 2 3 2 2" xfId="13561" xr:uid="{00000000-0005-0000-0000-00006B450000}"/>
    <cellStyle name="Normal 13 2 3 2 3 2 2 2" xfId="13562" xr:uid="{00000000-0005-0000-0000-00006C450000}"/>
    <cellStyle name="Normal 13 2 3 2 3 2 3" xfId="13563" xr:uid="{00000000-0005-0000-0000-00006D450000}"/>
    <cellStyle name="Normal 13 2 3 2 3 3" xfId="13564" xr:uid="{00000000-0005-0000-0000-00006E450000}"/>
    <cellStyle name="Normal 13 2 3 2 3 3 2" xfId="13565" xr:uid="{00000000-0005-0000-0000-00006F450000}"/>
    <cellStyle name="Normal 13 2 3 2 3 4" xfId="13566" xr:uid="{00000000-0005-0000-0000-000070450000}"/>
    <cellStyle name="Normal 13 2 3 2 4" xfId="13567" xr:uid="{00000000-0005-0000-0000-000071450000}"/>
    <cellStyle name="Normal 13 2 3 2 4 2" xfId="13568" xr:uid="{00000000-0005-0000-0000-000072450000}"/>
    <cellStyle name="Normal 13 2 3 2 4 2 2" xfId="13569" xr:uid="{00000000-0005-0000-0000-000073450000}"/>
    <cellStyle name="Normal 13 2 3 2 4 3" xfId="13570" xr:uid="{00000000-0005-0000-0000-000074450000}"/>
    <cellStyle name="Normal 13 2 3 2 5" xfId="13571" xr:uid="{00000000-0005-0000-0000-000075450000}"/>
    <cellStyle name="Normal 13 2 3 2 5 2" xfId="13572" xr:uid="{00000000-0005-0000-0000-000076450000}"/>
    <cellStyle name="Normal 13 2 3 2 6" xfId="13573" xr:uid="{00000000-0005-0000-0000-000077450000}"/>
    <cellStyle name="Normal 13 2 3 3" xfId="13574" xr:uid="{00000000-0005-0000-0000-000078450000}"/>
    <cellStyle name="Normal 13 2 3 3 2" xfId="13575" xr:uid="{00000000-0005-0000-0000-000079450000}"/>
    <cellStyle name="Normal 13 2 3 3 2 2" xfId="13576" xr:uid="{00000000-0005-0000-0000-00007A450000}"/>
    <cellStyle name="Normal 13 2 3 3 2 2 2" xfId="13577" xr:uid="{00000000-0005-0000-0000-00007B450000}"/>
    <cellStyle name="Normal 13 2 3 3 2 2 2 2" xfId="13578" xr:uid="{00000000-0005-0000-0000-00007C450000}"/>
    <cellStyle name="Normal 13 2 3 3 2 2 3" xfId="13579" xr:uid="{00000000-0005-0000-0000-00007D450000}"/>
    <cellStyle name="Normal 13 2 3 3 2 3" xfId="13580" xr:uid="{00000000-0005-0000-0000-00007E450000}"/>
    <cellStyle name="Normal 13 2 3 3 2 3 2" xfId="13581" xr:uid="{00000000-0005-0000-0000-00007F450000}"/>
    <cellStyle name="Normal 13 2 3 3 2 4" xfId="13582" xr:uid="{00000000-0005-0000-0000-000080450000}"/>
    <cellStyle name="Normal 13 2 3 3 3" xfId="13583" xr:uid="{00000000-0005-0000-0000-000081450000}"/>
    <cellStyle name="Normal 13 2 3 3 3 2" xfId="13584" xr:uid="{00000000-0005-0000-0000-000082450000}"/>
    <cellStyle name="Normal 13 2 3 3 3 2 2" xfId="13585" xr:uid="{00000000-0005-0000-0000-000083450000}"/>
    <cellStyle name="Normal 13 2 3 3 3 3" xfId="13586" xr:uid="{00000000-0005-0000-0000-000084450000}"/>
    <cellStyle name="Normal 13 2 3 3 4" xfId="13587" xr:uid="{00000000-0005-0000-0000-000085450000}"/>
    <cellStyle name="Normal 13 2 3 3 4 2" xfId="13588" xr:uid="{00000000-0005-0000-0000-000086450000}"/>
    <cellStyle name="Normal 13 2 3 3 5" xfId="13589" xr:uid="{00000000-0005-0000-0000-000087450000}"/>
    <cellStyle name="Normal 13 2 3 4" xfId="13590" xr:uid="{00000000-0005-0000-0000-000088450000}"/>
    <cellStyle name="Normal 13 2 3 4 2" xfId="13591" xr:uid="{00000000-0005-0000-0000-000089450000}"/>
    <cellStyle name="Normal 13 2 3 4 2 2" xfId="13592" xr:uid="{00000000-0005-0000-0000-00008A450000}"/>
    <cellStyle name="Normal 13 2 3 4 2 2 2" xfId="13593" xr:uid="{00000000-0005-0000-0000-00008B450000}"/>
    <cellStyle name="Normal 13 2 3 4 2 3" xfId="13594" xr:uid="{00000000-0005-0000-0000-00008C450000}"/>
    <cellStyle name="Normal 13 2 3 4 3" xfId="13595" xr:uid="{00000000-0005-0000-0000-00008D450000}"/>
    <cellStyle name="Normal 13 2 3 4 3 2" xfId="13596" xr:uid="{00000000-0005-0000-0000-00008E450000}"/>
    <cellStyle name="Normal 13 2 3 4 4" xfId="13597" xr:uid="{00000000-0005-0000-0000-00008F450000}"/>
    <cellStyle name="Normal 13 2 3 5" xfId="13598" xr:uid="{00000000-0005-0000-0000-000090450000}"/>
    <cellStyle name="Normal 13 2 3 5 2" xfId="13599" xr:uid="{00000000-0005-0000-0000-000091450000}"/>
    <cellStyle name="Normal 13 2 3 5 2 2" xfId="13600" xr:uid="{00000000-0005-0000-0000-000092450000}"/>
    <cellStyle name="Normal 13 2 3 5 3" xfId="13601" xr:uid="{00000000-0005-0000-0000-000093450000}"/>
    <cellStyle name="Normal 13 2 3 6" xfId="13602" xr:uid="{00000000-0005-0000-0000-000094450000}"/>
    <cellStyle name="Normal 13 2 3 6 2" xfId="13603" xr:uid="{00000000-0005-0000-0000-000095450000}"/>
    <cellStyle name="Normal 13 2 3 7" xfId="13604" xr:uid="{00000000-0005-0000-0000-000096450000}"/>
    <cellStyle name="Normal 13 2 4" xfId="13605" xr:uid="{00000000-0005-0000-0000-000097450000}"/>
    <cellStyle name="Normal 13 2 4 2" xfId="13606" xr:uid="{00000000-0005-0000-0000-000098450000}"/>
    <cellStyle name="Normal 13 2 4 2 2" xfId="13607" xr:uid="{00000000-0005-0000-0000-000099450000}"/>
    <cellStyle name="Normal 13 2 4 2 2 2" xfId="13608" xr:uid="{00000000-0005-0000-0000-00009A450000}"/>
    <cellStyle name="Normal 13 2 4 2 2 2 2" xfId="13609" xr:uid="{00000000-0005-0000-0000-00009B450000}"/>
    <cellStyle name="Normal 13 2 4 2 2 2 2 2" xfId="13610" xr:uid="{00000000-0005-0000-0000-00009C450000}"/>
    <cellStyle name="Normal 13 2 4 2 2 2 3" xfId="13611" xr:uid="{00000000-0005-0000-0000-00009D450000}"/>
    <cellStyle name="Normal 13 2 4 2 2 3" xfId="13612" xr:uid="{00000000-0005-0000-0000-00009E450000}"/>
    <cellStyle name="Normal 13 2 4 2 2 3 2" xfId="13613" xr:uid="{00000000-0005-0000-0000-00009F450000}"/>
    <cellStyle name="Normal 13 2 4 2 2 4" xfId="13614" xr:uid="{00000000-0005-0000-0000-0000A0450000}"/>
    <cellStyle name="Normal 13 2 4 2 3" xfId="13615" xr:uid="{00000000-0005-0000-0000-0000A1450000}"/>
    <cellStyle name="Normal 13 2 4 2 3 2" xfId="13616" xr:uid="{00000000-0005-0000-0000-0000A2450000}"/>
    <cellStyle name="Normal 13 2 4 2 3 2 2" xfId="13617" xr:uid="{00000000-0005-0000-0000-0000A3450000}"/>
    <cellStyle name="Normal 13 2 4 2 3 3" xfId="13618" xr:uid="{00000000-0005-0000-0000-0000A4450000}"/>
    <cellStyle name="Normal 13 2 4 2 4" xfId="13619" xr:uid="{00000000-0005-0000-0000-0000A5450000}"/>
    <cellStyle name="Normal 13 2 4 2 4 2" xfId="13620" xr:uid="{00000000-0005-0000-0000-0000A6450000}"/>
    <cellStyle name="Normal 13 2 4 2 5" xfId="13621" xr:uid="{00000000-0005-0000-0000-0000A7450000}"/>
    <cellStyle name="Normal 13 2 4 3" xfId="13622" xr:uid="{00000000-0005-0000-0000-0000A8450000}"/>
    <cellStyle name="Normal 13 2 4 3 2" xfId="13623" xr:uid="{00000000-0005-0000-0000-0000A9450000}"/>
    <cellStyle name="Normal 13 2 4 3 2 2" xfId="13624" xr:uid="{00000000-0005-0000-0000-0000AA450000}"/>
    <cellStyle name="Normal 13 2 4 3 2 2 2" xfId="13625" xr:uid="{00000000-0005-0000-0000-0000AB450000}"/>
    <cellStyle name="Normal 13 2 4 3 2 3" xfId="13626" xr:uid="{00000000-0005-0000-0000-0000AC450000}"/>
    <cellStyle name="Normal 13 2 4 3 3" xfId="13627" xr:uid="{00000000-0005-0000-0000-0000AD450000}"/>
    <cellStyle name="Normal 13 2 4 3 3 2" xfId="13628" xr:uid="{00000000-0005-0000-0000-0000AE450000}"/>
    <cellStyle name="Normal 13 2 4 3 4" xfId="13629" xr:uid="{00000000-0005-0000-0000-0000AF450000}"/>
    <cellStyle name="Normal 13 2 4 4" xfId="13630" xr:uid="{00000000-0005-0000-0000-0000B0450000}"/>
    <cellStyle name="Normal 13 2 4 4 2" xfId="13631" xr:uid="{00000000-0005-0000-0000-0000B1450000}"/>
    <cellStyle name="Normal 13 2 4 4 2 2" xfId="13632" xr:uid="{00000000-0005-0000-0000-0000B2450000}"/>
    <cellStyle name="Normal 13 2 4 4 3" xfId="13633" xr:uid="{00000000-0005-0000-0000-0000B3450000}"/>
    <cellStyle name="Normal 13 2 4 5" xfId="13634" xr:uid="{00000000-0005-0000-0000-0000B4450000}"/>
    <cellStyle name="Normal 13 2 4 5 2" xfId="13635" xr:uid="{00000000-0005-0000-0000-0000B5450000}"/>
    <cellStyle name="Normal 13 2 4 6" xfId="13636" xr:uid="{00000000-0005-0000-0000-0000B6450000}"/>
    <cellStyle name="Normal 13 2 5" xfId="13637" xr:uid="{00000000-0005-0000-0000-0000B7450000}"/>
    <cellStyle name="Normal 13 2 5 2" xfId="13638" xr:uid="{00000000-0005-0000-0000-0000B8450000}"/>
    <cellStyle name="Normal 13 2 5 2 2" xfId="13639" xr:uid="{00000000-0005-0000-0000-0000B9450000}"/>
    <cellStyle name="Normal 13 2 5 2 2 2" xfId="13640" xr:uid="{00000000-0005-0000-0000-0000BA450000}"/>
    <cellStyle name="Normal 13 2 5 2 2 2 2" xfId="13641" xr:uid="{00000000-0005-0000-0000-0000BB450000}"/>
    <cellStyle name="Normal 13 2 5 2 2 3" xfId="13642" xr:uid="{00000000-0005-0000-0000-0000BC450000}"/>
    <cellStyle name="Normal 13 2 5 2 3" xfId="13643" xr:uid="{00000000-0005-0000-0000-0000BD450000}"/>
    <cellStyle name="Normal 13 2 5 2 3 2" xfId="13644" xr:uid="{00000000-0005-0000-0000-0000BE450000}"/>
    <cellStyle name="Normal 13 2 5 2 4" xfId="13645" xr:uid="{00000000-0005-0000-0000-0000BF450000}"/>
    <cellStyle name="Normal 13 2 5 3" xfId="13646" xr:uid="{00000000-0005-0000-0000-0000C0450000}"/>
    <cellStyle name="Normal 13 2 5 3 2" xfId="13647" xr:uid="{00000000-0005-0000-0000-0000C1450000}"/>
    <cellStyle name="Normal 13 2 5 3 2 2" xfId="13648" xr:uid="{00000000-0005-0000-0000-0000C2450000}"/>
    <cellStyle name="Normal 13 2 5 3 3" xfId="13649" xr:uid="{00000000-0005-0000-0000-0000C3450000}"/>
    <cellStyle name="Normal 13 2 5 4" xfId="13650" xr:uid="{00000000-0005-0000-0000-0000C4450000}"/>
    <cellStyle name="Normal 13 2 5 4 2" xfId="13651" xr:uid="{00000000-0005-0000-0000-0000C5450000}"/>
    <cellStyle name="Normal 13 2 5 5" xfId="13652" xr:uid="{00000000-0005-0000-0000-0000C6450000}"/>
    <cellStyle name="Normal 13 2 6" xfId="13653" xr:uid="{00000000-0005-0000-0000-0000C7450000}"/>
    <cellStyle name="Normal 13 2 6 2" xfId="13654" xr:uid="{00000000-0005-0000-0000-0000C8450000}"/>
    <cellStyle name="Normal 13 2 6 2 2" xfId="13655" xr:uid="{00000000-0005-0000-0000-0000C9450000}"/>
    <cellStyle name="Normal 13 2 6 2 2 2" xfId="13656" xr:uid="{00000000-0005-0000-0000-0000CA450000}"/>
    <cellStyle name="Normal 13 2 6 2 3" xfId="13657" xr:uid="{00000000-0005-0000-0000-0000CB450000}"/>
    <cellStyle name="Normal 13 2 6 3" xfId="13658" xr:uid="{00000000-0005-0000-0000-0000CC450000}"/>
    <cellStyle name="Normal 13 2 6 3 2" xfId="13659" xr:uid="{00000000-0005-0000-0000-0000CD450000}"/>
    <cellStyle name="Normal 13 2 6 4" xfId="13660" xr:uid="{00000000-0005-0000-0000-0000CE450000}"/>
    <cellStyle name="Normal 13 2 7" xfId="13661" xr:uid="{00000000-0005-0000-0000-0000CF450000}"/>
    <cellStyle name="Normal 13 2 7 2" xfId="13662" xr:uid="{00000000-0005-0000-0000-0000D0450000}"/>
    <cellStyle name="Normal 13 2 7 2 2" xfId="13663" xr:uid="{00000000-0005-0000-0000-0000D1450000}"/>
    <cellStyle name="Normal 13 2 7 3" xfId="13664" xr:uid="{00000000-0005-0000-0000-0000D2450000}"/>
    <cellStyle name="Normal 13 2 8" xfId="13665" xr:uid="{00000000-0005-0000-0000-0000D3450000}"/>
    <cellStyle name="Normal 13 2 8 2" xfId="13666" xr:uid="{00000000-0005-0000-0000-0000D4450000}"/>
    <cellStyle name="Normal 13 2 9" xfId="13667" xr:uid="{00000000-0005-0000-0000-0000D5450000}"/>
    <cellStyle name="Normal 13 3" xfId="13668" xr:uid="{00000000-0005-0000-0000-0000D6450000}"/>
    <cellStyle name="Normal 13 3 2" xfId="13669" xr:uid="{00000000-0005-0000-0000-0000D7450000}"/>
    <cellStyle name="Normal 13 3 2 2" xfId="13670" xr:uid="{00000000-0005-0000-0000-0000D8450000}"/>
    <cellStyle name="Normal 13 3 2 2 2" xfId="13671" xr:uid="{00000000-0005-0000-0000-0000D9450000}"/>
    <cellStyle name="Normal 13 3 2 2 2 2" xfId="13672" xr:uid="{00000000-0005-0000-0000-0000DA450000}"/>
    <cellStyle name="Normal 13 3 2 2 2 2 2" xfId="13673" xr:uid="{00000000-0005-0000-0000-0000DB450000}"/>
    <cellStyle name="Normal 13 3 2 2 2 2 2 2" xfId="13674" xr:uid="{00000000-0005-0000-0000-0000DC450000}"/>
    <cellStyle name="Normal 13 3 2 2 2 2 2 2 2" xfId="13675" xr:uid="{00000000-0005-0000-0000-0000DD450000}"/>
    <cellStyle name="Normal 13 3 2 2 2 2 2 3" xfId="13676" xr:uid="{00000000-0005-0000-0000-0000DE450000}"/>
    <cellStyle name="Normal 13 3 2 2 2 2 3" xfId="13677" xr:uid="{00000000-0005-0000-0000-0000DF450000}"/>
    <cellStyle name="Normal 13 3 2 2 2 2 3 2" xfId="13678" xr:uid="{00000000-0005-0000-0000-0000E0450000}"/>
    <cellStyle name="Normal 13 3 2 2 2 2 4" xfId="13679" xr:uid="{00000000-0005-0000-0000-0000E1450000}"/>
    <cellStyle name="Normal 13 3 2 2 2 3" xfId="13680" xr:uid="{00000000-0005-0000-0000-0000E2450000}"/>
    <cellStyle name="Normal 13 3 2 2 2 3 2" xfId="13681" xr:uid="{00000000-0005-0000-0000-0000E3450000}"/>
    <cellStyle name="Normal 13 3 2 2 2 3 2 2" xfId="13682" xr:uid="{00000000-0005-0000-0000-0000E4450000}"/>
    <cellStyle name="Normal 13 3 2 2 2 3 3" xfId="13683" xr:uid="{00000000-0005-0000-0000-0000E5450000}"/>
    <cellStyle name="Normal 13 3 2 2 2 4" xfId="13684" xr:uid="{00000000-0005-0000-0000-0000E6450000}"/>
    <cellStyle name="Normal 13 3 2 2 2 4 2" xfId="13685" xr:uid="{00000000-0005-0000-0000-0000E7450000}"/>
    <cellStyle name="Normal 13 3 2 2 2 5" xfId="13686" xr:uid="{00000000-0005-0000-0000-0000E8450000}"/>
    <cellStyle name="Normal 13 3 2 2 3" xfId="13687" xr:uid="{00000000-0005-0000-0000-0000E9450000}"/>
    <cellStyle name="Normal 13 3 2 2 3 2" xfId="13688" xr:uid="{00000000-0005-0000-0000-0000EA450000}"/>
    <cellStyle name="Normal 13 3 2 2 3 2 2" xfId="13689" xr:uid="{00000000-0005-0000-0000-0000EB450000}"/>
    <cellStyle name="Normal 13 3 2 2 3 2 2 2" xfId="13690" xr:uid="{00000000-0005-0000-0000-0000EC450000}"/>
    <cellStyle name="Normal 13 3 2 2 3 2 3" xfId="13691" xr:uid="{00000000-0005-0000-0000-0000ED450000}"/>
    <cellStyle name="Normal 13 3 2 2 3 3" xfId="13692" xr:uid="{00000000-0005-0000-0000-0000EE450000}"/>
    <cellStyle name="Normal 13 3 2 2 3 3 2" xfId="13693" xr:uid="{00000000-0005-0000-0000-0000EF450000}"/>
    <cellStyle name="Normal 13 3 2 2 3 4" xfId="13694" xr:uid="{00000000-0005-0000-0000-0000F0450000}"/>
    <cellStyle name="Normal 13 3 2 2 4" xfId="13695" xr:uid="{00000000-0005-0000-0000-0000F1450000}"/>
    <cellStyle name="Normal 13 3 2 2 4 2" xfId="13696" xr:uid="{00000000-0005-0000-0000-0000F2450000}"/>
    <cellStyle name="Normal 13 3 2 2 4 2 2" xfId="13697" xr:uid="{00000000-0005-0000-0000-0000F3450000}"/>
    <cellStyle name="Normal 13 3 2 2 4 3" xfId="13698" xr:uid="{00000000-0005-0000-0000-0000F4450000}"/>
    <cellStyle name="Normal 13 3 2 2 5" xfId="13699" xr:uid="{00000000-0005-0000-0000-0000F5450000}"/>
    <cellStyle name="Normal 13 3 2 2 5 2" xfId="13700" xr:uid="{00000000-0005-0000-0000-0000F6450000}"/>
    <cellStyle name="Normal 13 3 2 2 6" xfId="13701" xr:uid="{00000000-0005-0000-0000-0000F7450000}"/>
    <cellStyle name="Normal 13 3 2 3" xfId="13702" xr:uid="{00000000-0005-0000-0000-0000F8450000}"/>
    <cellStyle name="Normal 13 3 2 3 2" xfId="13703" xr:uid="{00000000-0005-0000-0000-0000F9450000}"/>
    <cellStyle name="Normal 13 3 2 3 2 2" xfId="13704" xr:uid="{00000000-0005-0000-0000-0000FA450000}"/>
    <cellStyle name="Normal 13 3 2 3 2 2 2" xfId="13705" xr:uid="{00000000-0005-0000-0000-0000FB450000}"/>
    <cellStyle name="Normal 13 3 2 3 2 2 2 2" xfId="13706" xr:uid="{00000000-0005-0000-0000-0000FC450000}"/>
    <cellStyle name="Normal 13 3 2 3 2 2 3" xfId="13707" xr:uid="{00000000-0005-0000-0000-0000FD450000}"/>
    <cellStyle name="Normal 13 3 2 3 2 3" xfId="13708" xr:uid="{00000000-0005-0000-0000-0000FE450000}"/>
    <cellStyle name="Normal 13 3 2 3 2 3 2" xfId="13709" xr:uid="{00000000-0005-0000-0000-0000FF450000}"/>
    <cellStyle name="Normal 13 3 2 3 2 4" xfId="13710" xr:uid="{00000000-0005-0000-0000-000000460000}"/>
    <cellStyle name="Normal 13 3 2 3 3" xfId="13711" xr:uid="{00000000-0005-0000-0000-000001460000}"/>
    <cellStyle name="Normal 13 3 2 3 3 2" xfId="13712" xr:uid="{00000000-0005-0000-0000-000002460000}"/>
    <cellStyle name="Normal 13 3 2 3 3 2 2" xfId="13713" xr:uid="{00000000-0005-0000-0000-000003460000}"/>
    <cellStyle name="Normal 13 3 2 3 3 3" xfId="13714" xr:uid="{00000000-0005-0000-0000-000004460000}"/>
    <cellStyle name="Normal 13 3 2 3 4" xfId="13715" xr:uid="{00000000-0005-0000-0000-000005460000}"/>
    <cellStyle name="Normal 13 3 2 3 4 2" xfId="13716" xr:uid="{00000000-0005-0000-0000-000006460000}"/>
    <cellStyle name="Normal 13 3 2 3 5" xfId="13717" xr:uid="{00000000-0005-0000-0000-000007460000}"/>
    <cellStyle name="Normal 13 3 2 4" xfId="13718" xr:uid="{00000000-0005-0000-0000-000008460000}"/>
    <cellStyle name="Normal 13 3 2 4 2" xfId="13719" xr:uid="{00000000-0005-0000-0000-000009460000}"/>
    <cellStyle name="Normal 13 3 2 4 2 2" xfId="13720" xr:uid="{00000000-0005-0000-0000-00000A460000}"/>
    <cellStyle name="Normal 13 3 2 4 2 2 2" xfId="13721" xr:uid="{00000000-0005-0000-0000-00000B460000}"/>
    <cellStyle name="Normal 13 3 2 4 2 3" xfId="13722" xr:uid="{00000000-0005-0000-0000-00000C460000}"/>
    <cellStyle name="Normal 13 3 2 4 3" xfId="13723" xr:uid="{00000000-0005-0000-0000-00000D460000}"/>
    <cellStyle name="Normal 13 3 2 4 3 2" xfId="13724" xr:uid="{00000000-0005-0000-0000-00000E460000}"/>
    <cellStyle name="Normal 13 3 2 4 4" xfId="13725" xr:uid="{00000000-0005-0000-0000-00000F460000}"/>
    <cellStyle name="Normal 13 3 2 5" xfId="13726" xr:uid="{00000000-0005-0000-0000-000010460000}"/>
    <cellStyle name="Normal 13 3 2 5 2" xfId="13727" xr:uid="{00000000-0005-0000-0000-000011460000}"/>
    <cellStyle name="Normal 13 3 2 5 2 2" xfId="13728" xr:uid="{00000000-0005-0000-0000-000012460000}"/>
    <cellStyle name="Normal 13 3 2 5 3" xfId="13729" xr:uid="{00000000-0005-0000-0000-000013460000}"/>
    <cellStyle name="Normal 13 3 2 6" xfId="13730" xr:uid="{00000000-0005-0000-0000-000014460000}"/>
    <cellStyle name="Normal 13 3 2 6 2" xfId="13731" xr:uid="{00000000-0005-0000-0000-000015460000}"/>
    <cellStyle name="Normal 13 3 2 7" xfId="13732" xr:uid="{00000000-0005-0000-0000-000016460000}"/>
    <cellStyle name="Normal 13 3 3" xfId="13733" xr:uid="{00000000-0005-0000-0000-000017460000}"/>
    <cellStyle name="Normal 13 3 3 2" xfId="13734" xr:uid="{00000000-0005-0000-0000-000018460000}"/>
    <cellStyle name="Normal 13 3 3 2 2" xfId="13735" xr:uid="{00000000-0005-0000-0000-000019460000}"/>
    <cellStyle name="Normal 13 3 3 2 2 2" xfId="13736" xr:uid="{00000000-0005-0000-0000-00001A460000}"/>
    <cellStyle name="Normal 13 3 3 2 2 2 2" xfId="13737" xr:uid="{00000000-0005-0000-0000-00001B460000}"/>
    <cellStyle name="Normal 13 3 3 2 2 2 2 2" xfId="13738" xr:uid="{00000000-0005-0000-0000-00001C460000}"/>
    <cellStyle name="Normal 13 3 3 2 2 2 3" xfId="13739" xr:uid="{00000000-0005-0000-0000-00001D460000}"/>
    <cellStyle name="Normal 13 3 3 2 2 3" xfId="13740" xr:uid="{00000000-0005-0000-0000-00001E460000}"/>
    <cellStyle name="Normal 13 3 3 2 2 3 2" xfId="13741" xr:uid="{00000000-0005-0000-0000-00001F460000}"/>
    <cellStyle name="Normal 13 3 3 2 2 4" xfId="13742" xr:uid="{00000000-0005-0000-0000-000020460000}"/>
    <cellStyle name="Normal 13 3 3 2 3" xfId="13743" xr:uid="{00000000-0005-0000-0000-000021460000}"/>
    <cellStyle name="Normal 13 3 3 2 3 2" xfId="13744" xr:uid="{00000000-0005-0000-0000-000022460000}"/>
    <cellStyle name="Normal 13 3 3 2 3 2 2" xfId="13745" xr:uid="{00000000-0005-0000-0000-000023460000}"/>
    <cellStyle name="Normal 13 3 3 2 3 3" xfId="13746" xr:uid="{00000000-0005-0000-0000-000024460000}"/>
    <cellStyle name="Normal 13 3 3 2 4" xfId="13747" xr:uid="{00000000-0005-0000-0000-000025460000}"/>
    <cellStyle name="Normal 13 3 3 2 4 2" xfId="13748" xr:uid="{00000000-0005-0000-0000-000026460000}"/>
    <cellStyle name="Normal 13 3 3 2 5" xfId="13749" xr:uid="{00000000-0005-0000-0000-000027460000}"/>
    <cellStyle name="Normal 13 3 3 3" xfId="13750" xr:uid="{00000000-0005-0000-0000-000028460000}"/>
    <cellStyle name="Normal 13 3 3 3 2" xfId="13751" xr:uid="{00000000-0005-0000-0000-000029460000}"/>
    <cellStyle name="Normal 13 3 3 3 2 2" xfId="13752" xr:uid="{00000000-0005-0000-0000-00002A460000}"/>
    <cellStyle name="Normal 13 3 3 3 2 2 2" xfId="13753" xr:uid="{00000000-0005-0000-0000-00002B460000}"/>
    <cellStyle name="Normal 13 3 3 3 2 3" xfId="13754" xr:uid="{00000000-0005-0000-0000-00002C460000}"/>
    <cellStyle name="Normal 13 3 3 3 3" xfId="13755" xr:uid="{00000000-0005-0000-0000-00002D460000}"/>
    <cellStyle name="Normal 13 3 3 3 3 2" xfId="13756" xr:uid="{00000000-0005-0000-0000-00002E460000}"/>
    <cellStyle name="Normal 13 3 3 3 4" xfId="13757" xr:uid="{00000000-0005-0000-0000-00002F460000}"/>
    <cellStyle name="Normal 13 3 3 4" xfId="13758" xr:uid="{00000000-0005-0000-0000-000030460000}"/>
    <cellStyle name="Normal 13 3 3 4 2" xfId="13759" xr:uid="{00000000-0005-0000-0000-000031460000}"/>
    <cellStyle name="Normal 13 3 3 4 2 2" xfId="13760" xr:uid="{00000000-0005-0000-0000-000032460000}"/>
    <cellStyle name="Normal 13 3 3 4 3" xfId="13761" xr:uid="{00000000-0005-0000-0000-000033460000}"/>
    <cellStyle name="Normal 13 3 3 5" xfId="13762" xr:uid="{00000000-0005-0000-0000-000034460000}"/>
    <cellStyle name="Normal 13 3 3 5 2" xfId="13763" xr:uid="{00000000-0005-0000-0000-000035460000}"/>
    <cellStyle name="Normal 13 3 3 6" xfId="13764" xr:uid="{00000000-0005-0000-0000-000036460000}"/>
    <cellStyle name="Normal 13 3 4" xfId="13765" xr:uid="{00000000-0005-0000-0000-000037460000}"/>
    <cellStyle name="Normal 13 3 4 2" xfId="13766" xr:uid="{00000000-0005-0000-0000-000038460000}"/>
    <cellStyle name="Normal 13 3 4 2 2" xfId="13767" xr:uid="{00000000-0005-0000-0000-000039460000}"/>
    <cellStyle name="Normal 13 3 4 2 2 2" xfId="13768" xr:uid="{00000000-0005-0000-0000-00003A460000}"/>
    <cellStyle name="Normal 13 3 4 2 2 2 2" xfId="13769" xr:uid="{00000000-0005-0000-0000-00003B460000}"/>
    <cellStyle name="Normal 13 3 4 2 2 3" xfId="13770" xr:uid="{00000000-0005-0000-0000-00003C460000}"/>
    <cellStyle name="Normal 13 3 4 2 3" xfId="13771" xr:uid="{00000000-0005-0000-0000-00003D460000}"/>
    <cellStyle name="Normal 13 3 4 2 3 2" xfId="13772" xr:uid="{00000000-0005-0000-0000-00003E460000}"/>
    <cellStyle name="Normal 13 3 4 2 4" xfId="13773" xr:uid="{00000000-0005-0000-0000-00003F460000}"/>
    <cellStyle name="Normal 13 3 4 3" xfId="13774" xr:uid="{00000000-0005-0000-0000-000040460000}"/>
    <cellStyle name="Normal 13 3 4 3 2" xfId="13775" xr:uid="{00000000-0005-0000-0000-000041460000}"/>
    <cellStyle name="Normal 13 3 4 3 2 2" xfId="13776" xr:uid="{00000000-0005-0000-0000-000042460000}"/>
    <cellStyle name="Normal 13 3 4 3 3" xfId="13777" xr:uid="{00000000-0005-0000-0000-000043460000}"/>
    <cellStyle name="Normal 13 3 4 4" xfId="13778" xr:uid="{00000000-0005-0000-0000-000044460000}"/>
    <cellStyle name="Normal 13 3 4 4 2" xfId="13779" xr:uid="{00000000-0005-0000-0000-000045460000}"/>
    <cellStyle name="Normal 13 3 4 5" xfId="13780" xr:uid="{00000000-0005-0000-0000-000046460000}"/>
    <cellStyle name="Normal 13 3 5" xfId="13781" xr:uid="{00000000-0005-0000-0000-000047460000}"/>
    <cellStyle name="Normal 13 3 5 2" xfId="13782" xr:uid="{00000000-0005-0000-0000-000048460000}"/>
    <cellStyle name="Normal 13 3 5 2 2" xfId="13783" xr:uid="{00000000-0005-0000-0000-000049460000}"/>
    <cellStyle name="Normal 13 3 5 2 2 2" xfId="13784" xr:uid="{00000000-0005-0000-0000-00004A460000}"/>
    <cellStyle name="Normal 13 3 5 2 3" xfId="13785" xr:uid="{00000000-0005-0000-0000-00004B460000}"/>
    <cellStyle name="Normal 13 3 5 3" xfId="13786" xr:uid="{00000000-0005-0000-0000-00004C460000}"/>
    <cellStyle name="Normal 13 3 5 3 2" xfId="13787" xr:uid="{00000000-0005-0000-0000-00004D460000}"/>
    <cellStyle name="Normal 13 3 5 4" xfId="13788" xr:uid="{00000000-0005-0000-0000-00004E460000}"/>
    <cellStyle name="Normal 13 3 6" xfId="13789" xr:uid="{00000000-0005-0000-0000-00004F460000}"/>
    <cellStyle name="Normal 13 3 6 2" xfId="13790" xr:uid="{00000000-0005-0000-0000-000050460000}"/>
    <cellStyle name="Normal 13 3 6 2 2" xfId="13791" xr:uid="{00000000-0005-0000-0000-000051460000}"/>
    <cellStyle name="Normal 13 3 6 3" xfId="13792" xr:uid="{00000000-0005-0000-0000-000052460000}"/>
    <cellStyle name="Normal 13 3 7" xfId="13793" xr:uid="{00000000-0005-0000-0000-000053460000}"/>
    <cellStyle name="Normal 13 3 7 2" xfId="13794" xr:uid="{00000000-0005-0000-0000-000054460000}"/>
    <cellStyle name="Normal 13 3 8" xfId="13795" xr:uid="{00000000-0005-0000-0000-000055460000}"/>
    <cellStyle name="Normal 13 4" xfId="13796" xr:uid="{00000000-0005-0000-0000-000056460000}"/>
    <cellStyle name="Normal 13 4 2" xfId="13797" xr:uid="{00000000-0005-0000-0000-000057460000}"/>
    <cellStyle name="Normal 13 4 2 2" xfId="13798" xr:uid="{00000000-0005-0000-0000-000058460000}"/>
    <cellStyle name="Normal 13 4 2 2 2" xfId="13799" xr:uid="{00000000-0005-0000-0000-000059460000}"/>
    <cellStyle name="Normal 13 4 2 2 2 2" xfId="13800" xr:uid="{00000000-0005-0000-0000-00005A460000}"/>
    <cellStyle name="Normal 13 4 2 2 2 2 2" xfId="13801" xr:uid="{00000000-0005-0000-0000-00005B460000}"/>
    <cellStyle name="Normal 13 4 2 2 2 2 2 2" xfId="13802" xr:uid="{00000000-0005-0000-0000-00005C460000}"/>
    <cellStyle name="Normal 13 4 2 2 2 2 3" xfId="13803" xr:uid="{00000000-0005-0000-0000-00005D460000}"/>
    <cellStyle name="Normal 13 4 2 2 2 3" xfId="13804" xr:uid="{00000000-0005-0000-0000-00005E460000}"/>
    <cellStyle name="Normal 13 4 2 2 2 3 2" xfId="13805" xr:uid="{00000000-0005-0000-0000-00005F460000}"/>
    <cellStyle name="Normal 13 4 2 2 2 4" xfId="13806" xr:uid="{00000000-0005-0000-0000-000060460000}"/>
    <cellStyle name="Normal 13 4 2 2 3" xfId="13807" xr:uid="{00000000-0005-0000-0000-000061460000}"/>
    <cellStyle name="Normal 13 4 2 2 3 2" xfId="13808" xr:uid="{00000000-0005-0000-0000-000062460000}"/>
    <cellStyle name="Normal 13 4 2 2 3 2 2" xfId="13809" xr:uid="{00000000-0005-0000-0000-000063460000}"/>
    <cellStyle name="Normal 13 4 2 2 3 3" xfId="13810" xr:uid="{00000000-0005-0000-0000-000064460000}"/>
    <cellStyle name="Normal 13 4 2 2 4" xfId="13811" xr:uid="{00000000-0005-0000-0000-000065460000}"/>
    <cellStyle name="Normal 13 4 2 2 4 2" xfId="13812" xr:uid="{00000000-0005-0000-0000-000066460000}"/>
    <cellStyle name="Normal 13 4 2 2 5" xfId="13813" xr:uid="{00000000-0005-0000-0000-000067460000}"/>
    <cellStyle name="Normal 13 4 2 3" xfId="13814" xr:uid="{00000000-0005-0000-0000-000068460000}"/>
    <cellStyle name="Normal 13 4 2 3 2" xfId="13815" xr:uid="{00000000-0005-0000-0000-000069460000}"/>
    <cellStyle name="Normal 13 4 2 3 2 2" xfId="13816" xr:uid="{00000000-0005-0000-0000-00006A460000}"/>
    <cellStyle name="Normal 13 4 2 3 2 2 2" xfId="13817" xr:uid="{00000000-0005-0000-0000-00006B460000}"/>
    <cellStyle name="Normal 13 4 2 3 2 3" xfId="13818" xr:uid="{00000000-0005-0000-0000-00006C460000}"/>
    <cellStyle name="Normal 13 4 2 3 3" xfId="13819" xr:uid="{00000000-0005-0000-0000-00006D460000}"/>
    <cellStyle name="Normal 13 4 2 3 3 2" xfId="13820" xr:uid="{00000000-0005-0000-0000-00006E460000}"/>
    <cellStyle name="Normal 13 4 2 3 4" xfId="13821" xr:uid="{00000000-0005-0000-0000-00006F460000}"/>
    <cellStyle name="Normal 13 4 2 4" xfId="13822" xr:uid="{00000000-0005-0000-0000-000070460000}"/>
    <cellStyle name="Normal 13 4 2 4 2" xfId="13823" xr:uid="{00000000-0005-0000-0000-000071460000}"/>
    <cellStyle name="Normal 13 4 2 4 2 2" xfId="13824" xr:uid="{00000000-0005-0000-0000-000072460000}"/>
    <cellStyle name="Normal 13 4 2 4 3" xfId="13825" xr:uid="{00000000-0005-0000-0000-000073460000}"/>
    <cellStyle name="Normal 13 4 2 5" xfId="13826" xr:uid="{00000000-0005-0000-0000-000074460000}"/>
    <cellStyle name="Normal 13 4 2 5 2" xfId="13827" xr:uid="{00000000-0005-0000-0000-000075460000}"/>
    <cellStyle name="Normal 13 4 2 6" xfId="13828" xr:uid="{00000000-0005-0000-0000-000076460000}"/>
    <cellStyle name="Normal 13 4 3" xfId="13829" xr:uid="{00000000-0005-0000-0000-000077460000}"/>
    <cellStyle name="Normal 13 4 3 2" xfId="13830" xr:uid="{00000000-0005-0000-0000-000078460000}"/>
    <cellStyle name="Normal 13 4 3 2 2" xfId="13831" xr:uid="{00000000-0005-0000-0000-000079460000}"/>
    <cellStyle name="Normal 13 4 3 2 2 2" xfId="13832" xr:uid="{00000000-0005-0000-0000-00007A460000}"/>
    <cellStyle name="Normal 13 4 3 2 2 2 2" xfId="13833" xr:uid="{00000000-0005-0000-0000-00007B460000}"/>
    <cellStyle name="Normal 13 4 3 2 2 3" xfId="13834" xr:uid="{00000000-0005-0000-0000-00007C460000}"/>
    <cellStyle name="Normal 13 4 3 2 3" xfId="13835" xr:uid="{00000000-0005-0000-0000-00007D460000}"/>
    <cellStyle name="Normal 13 4 3 2 3 2" xfId="13836" xr:uid="{00000000-0005-0000-0000-00007E460000}"/>
    <cellStyle name="Normal 13 4 3 2 4" xfId="13837" xr:uid="{00000000-0005-0000-0000-00007F460000}"/>
    <cellStyle name="Normal 13 4 3 3" xfId="13838" xr:uid="{00000000-0005-0000-0000-000080460000}"/>
    <cellStyle name="Normal 13 4 3 3 2" xfId="13839" xr:uid="{00000000-0005-0000-0000-000081460000}"/>
    <cellStyle name="Normal 13 4 3 3 2 2" xfId="13840" xr:uid="{00000000-0005-0000-0000-000082460000}"/>
    <cellStyle name="Normal 13 4 3 3 3" xfId="13841" xr:uid="{00000000-0005-0000-0000-000083460000}"/>
    <cellStyle name="Normal 13 4 3 4" xfId="13842" xr:uid="{00000000-0005-0000-0000-000084460000}"/>
    <cellStyle name="Normal 13 4 3 4 2" xfId="13843" xr:uid="{00000000-0005-0000-0000-000085460000}"/>
    <cellStyle name="Normal 13 4 3 5" xfId="13844" xr:uid="{00000000-0005-0000-0000-000086460000}"/>
    <cellStyle name="Normal 13 4 4" xfId="13845" xr:uid="{00000000-0005-0000-0000-000087460000}"/>
    <cellStyle name="Normal 13 4 4 2" xfId="13846" xr:uid="{00000000-0005-0000-0000-000088460000}"/>
    <cellStyle name="Normal 13 4 4 2 2" xfId="13847" xr:uid="{00000000-0005-0000-0000-000089460000}"/>
    <cellStyle name="Normal 13 4 4 2 2 2" xfId="13848" xr:uid="{00000000-0005-0000-0000-00008A460000}"/>
    <cellStyle name="Normal 13 4 4 2 3" xfId="13849" xr:uid="{00000000-0005-0000-0000-00008B460000}"/>
    <cellStyle name="Normal 13 4 4 3" xfId="13850" xr:uid="{00000000-0005-0000-0000-00008C460000}"/>
    <cellStyle name="Normal 13 4 4 3 2" xfId="13851" xr:uid="{00000000-0005-0000-0000-00008D460000}"/>
    <cellStyle name="Normal 13 4 4 4" xfId="13852" xr:uid="{00000000-0005-0000-0000-00008E460000}"/>
    <cellStyle name="Normal 13 4 5" xfId="13853" xr:uid="{00000000-0005-0000-0000-00008F460000}"/>
    <cellStyle name="Normal 13 4 5 2" xfId="13854" xr:uid="{00000000-0005-0000-0000-000090460000}"/>
    <cellStyle name="Normal 13 4 5 2 2" xfId="13855" xr:uid="{00000000-0005-0000-0000-000091460000}"/>
    <cellStyle name="Normal 13 4 5 3" xfId="13856" xr:uid="{00000000-0005-0000-0000-000092460000}"/>
    <cellStyle name="Normal 13 4 6" xfId="13857" xr:uid="{00000000-0005-0000-0000-000093460000}"/>
    <cellStyle name="Normal 13 4 6 2" xfId="13858" xr:uid="{00000000-0005-0000-0000-000094460000}"/>
    <cellStyle name="Normal 13 4 7" xfId="13859" xr:uid="{00000000-0005-0000-0000-000095460000}"/>
    <cellStyle name="Normal 13 5" xfId="13860" xr:uid="{00000000-0005-0000-0000-000096460000}"/>
    <cellStyle name="Normal 13 5 2" xfId="13861" xr:uid="{00000000-0005-0000-0000-000097460000}"/>
    <cellStyle name="Normal 13 5 2 2" xfId="13862" xr:uid="{00000000-0005-0000-0000-000098460000}"/>
    <cellStyle name="Normal 13 5 2 2 2" xfId="13863" xr:uid="{00000000-0005-0000-0000-000099460000}"/>
    <cellStyle name="Normal 13 5 2 2 2 2" xfId="13864" xr:uid="{00000000-0005-0000-0000-00009A460000}"/>
    <cellStyle name="Normal 13 5 2 2 2 2 2" xfId="13865" xr:uid="{00000000-0005-0000-0000-00009B460000}"/>
    <cellStyle name="Normal 13 5 2 2 2 3" xfId="13866" xr:uid="{00000000-0005-0000-0000-00009C460000}"/>
    <cellStyle name="Normal 13 5 2 2 3" xfId="13867" xr:uid="{00000000-0005-0000-0000-00009D460000}"/>
    <cellStyle name="Normal 13 5 2 2 3 2" xfId="13868" xr:uid="{00000000-0005-0000-0000-00009E460000}"/>
    <cellStyle name="Normal 13 5 2 2 4" xfId="13869" xr:uid="{00000000-0005-0000-0000-00009F460000}"/>
    <cellStyle name="Normal 13 5 2 3" xfId="13870" xr:uid="{00000000-0005-0000-0000-0000A0460000}"/>
    <cellStyle name="Normal 13 5 2 3 2" xfId="13871" xr:uid="{00000000-0005-0000-0000-0000A1460000}"/>
    <cellStyle name="Normal 13 5 2 3 2 2" xfId="13872" xr:uid="{00000000-0005-0000-0000-0000A2460000}"/>
    <cellStyle name="Normal 13 5 2 3 3" xfId="13873" xr:uid="{00000000-0005-0000-0000-0000A3460000}"/>
    <cellStyle name="Normal 13 5 2 4" xfId="13874" xr:uid="{00000000-0005-0000-0000-0000A4460000}"/>
    <cellStyle name="Normal 13 5 2 4 2" xfId="13875" xr:uid="{00000000-0005-0000-0000-0000A5460000}"/>
    <cellStyle name="Normal 13 5 2 5" xfId="13876" xr:uid="{00000000-0005-0000-0000-0000A6460000}"/>
    <cellStyle name="Normal 13 5 3" xfId="13877" xr:uid="{00000000-0005-0000-0000-0000A7460000}"/>
    <cellStyle name="Normal 13 5 3 2" xfId="13878" xr:uid="{00000000-0005-0000-0000-0000A8460000}"/>
    <cellStyle name="Normal 13 5 3 2 2" xfId="13879" xr:uid="{00000000-0005-0000-0000-0000A9460000}"/>
    <cellStyle name="Normal 13 5 3 2 2 2" xfId="13880" xr:uid="{00000000-0005-0000-0000-0000AA460000}"/>
    <cellStyle name="Normal 13 5 3 2 3" xfId="13881" xr:uid="{00000000-0005-0000-0000-0000AB460000}"/>
    <cellStyle name="Normal 13 5 3 3" xfId="13882" xr:uid="{00000000-0005-0000-0000-0000AC460000}"/>
    <cellStyle name="Normal 13 5 3 3 2" xfId="13883" xr:uid="{00000000-0005-0000-0000-0000AD460000}"/>
    <cellStyle name="Normal 13 5 3 4" xfId="13884" xr:uid="{00000000-0005-0000-0000-0000AE460000}"/>
    <cellStyle name="Normal 13 5 4" xfId="13885" xr:uid="{00000000-0005-0000-0000-0000AF460000}"/>
    <cellStyle name="Normal 13 5 4 2" xfId="13886" xr:uid="{00000000-0005-0000-0000-0000B0460000}"/>
    <cellStyle name="Normal 13 5 4 2 2" xfId="13887" xr:uid="{00000000-0005-0000-0000-0000B1460000}"/>
    <cellStyle name="Normal 13 5 4 3" xfId="13888" xr:uid="{00000000-0005-0000-0000-0000B2460000}"/>
    <cellStyle name="Normal 13 5 5" xfId="13889" xr:uid="{00000000-0005-0000-0000-0000B3460000}"/>
    <cellStyle name="Normal 13 5 5 2" xfId="13890" xr:uid="{00000000-0005-0000-0000-0000B4460000}"/>
    <cellStyle name="Normal 13 5 6" xfId="13891" xr:uid="{00000000-0005-0000-0000-0000B5460000}"/>
    <cellStyle name="Normal 13 6" xfId="13892" xr:uid="{00000000-0005-0000-0000-0000B6460000}"/>
    <cellStyle name="Normal 13 6 2" xfId="13893" xr:uid="{00000000-0005-0000-0000-0000B7460000}"/>
    <cellStyle name="Normal 13 6 2 2" xfId="13894" xr:uid="{00000000-0005-0000-0000-0000B8460000}"/>
    <cellStyle name="Normal 13 6 2 2 2" xfId="13895" xr:uid="{00000000-0005-0000-0000-0000B9460000}"/>
    <cellStyle name="Normal 13 6 2 2 2 2" xfId="13896" xr:uid="{00000000-0005-0000-0000-0000BA460000}"/>
    <cellStyle name="Normal 13 6 2 2 3" xfId="13897" xr:uid="{00000000-0005-0000-0000-0000BB460000}"/>
    <cellStyle name="Normal 13 6 2 3" xfId="13898" xr:uid="{00000000-0005-0000-0000-0000BC460000}"/>
    <cellStyle name="Normal 13 6 2 3 2" xfId="13899" xr:uid="{00000000-0005-0000-0000-0000BD460000}"/>
    <cellStyle name="Normal 13 6 2 4" xfId="13900" xr:uid="{00000000-0005-0000-0000-0000BE460000}"/>
    <cellStyle name="Normal 13 6 3" xfId="13901" xr:uid="{00000000-0005-0000-0000-0000BF460000}"/>
    <cellStyle name="Normal 13 6 3 2" xfId="13902" xr:uid="{00000000-0005-0000-0000-0000C0460000}"/>
    <cellStyle name="Normal 13 6 3 2 2" xfId="13903" xr:uid="{00000000-0005-0000-0000-0000C1460000}"/>
    <cellStyle name="Normal 13 6 3 3" xfId="13904" xr:uid="{00000000-0005-0000-0000-0000C2460000}"/>
    <cellStyle name="Normal 13 6 4" xfId="13905" xr:uid="{00000000-0005-0000-0000-0000C3460000}"/>
    <cellStyle name="Normal 13 6 4 2" xfId="13906" xr:uid="{00000000-0005-0000-0000-0000C4460000}"/>
    <cellStyle name="Normal 13 6 5" xfId="13907" xr:uid="{00000000-0005-0000-0000-0000C5460000}"/>
    <cellStyle name="Normal 13 7" xfId="13908" xr:uid="{00000000-0005-0000-0000-0000C6460000}"/>
    <cellStyle name="Normal 13 7 2" xfId="13909" xr:uid="{00000000-0005-0000-0000-0000C7460000}"/>
    <cellStyle name="Normal 13 7 2 2" xfId="13910" xr:uid="{00000000-0005-0000-0000-0000C8460000}"/>
    <cellStyle name="Normal 13 7 2 2 2" xfId="13911" xr:uid="{00000000-0005-0000-0000-0000C9460000}"/>
    <cellStyle name="Normal 13 7 2 3" xfId="13912" xr:uid="{00000000-0005-0000-0000-0000CA460000}"/>
    <cellStyle name="Normal 13 7 3" xfId="13913" xr:uid="{00000000-0005-0000-0000-0000CB460000}"/>
    <cellStyle name="Normal 13 7 3 2" xfId="13914" xr:uid="{00000000-0005-0000-0000-0000CC460000}"/>
    <cellStyle name="Normal 13 7 4" xfId="13915" xr:uid="{00000000-0005-0000-0000-0000CD460000}"/>
    <cellStyle name="Normal 13 8" xfId="13916" xr:uid="{00000000-0005-0000-0000-0000CE460000}"/>
    <cellStyle name="Normal 13 8 2" xfId="13917" xr:uid="{00000000-0005-0000-0000-0000CF460000}"/>
    <cellStyle name="Normal 13 8 2 2" xfId="13918" xr:uid="{00000000-0005-0000-0000-0000D0460000}"/>
    <cellStyle name="Normal 13 8 3" xfId="13919" xr:uid="{00000000-0005-0000-0000-0000D1460000}"/>
    <cellStyle name="Normal 13 9" xfId="13920" xr:uid="{00000000-0005-0000-0000-0000D2460000}"/>
    <cellStyle name="Normal 13 9 2" xfId="13921" xr:uid="{00000000-0005-0000-0000-0000D3460000}"/>
    <cellStyle name="Normal 14" xfId="13922" xr:uid="{00000000-0005-0000-0000-0000D4460000}"/>
    <cellStyle name="Normal 14 2" xfId="13923" xr:uid="{00000000-0005-0000-0000-0000D5460000}"/>
    <cellStyle name="Normal 14 2 2" xfId="13924" xr:uid="{00000000-0005-0000-0000-0000D6460000}"/>
    <cellStyle name="Normal 14 2 3" xfId="18820" xr:uid="{00000000-0005-0000-0000-0000D7460000}"/>
    <cellStyle name="Normal 14 3" xfId="13925" xr:uid="{00000000-0005-0000-0000-0000D8460000}"/>
    <cellStyle name="Normal 14 3 2" xfId="18783" xr:uid="{00000000-0005-0000-0000-0000D9460000}"/>
    <cellStyle name="Normal 14 4" xfId="18717" xr:uid="{00000000-0005-0000-0000-0000DA460000}"/>
    <cellStyle name="Normal 15" xfId="13926" xr:uid="{00000000-0005-0000-0000-0000DB460000}"/>
    <cellStyle name="Normal 15 2" xfId="13927" xr:uid="{00000000-0005-0000-0000-0000DC460000}"/>
    <cellStyle name="Normal 15 2 2" xfId="13928" xr:uid="{00000000-0005-0000-0000-0000DD460000}"/>
    <cellStyle name="Normal 15 2 2 2" xfId="13929" xr:uid="{00000000-0005-0000-0000-0000DE460000}"/>
    <cellStyle name="Normal 15 2 2 2 2" xfId="13930" xr:uid="{00000000-0005-0000-0000-0000DF460000}"/>
    <cellStyle name="Normal 15 2 2 2 2 2" xfId="13931" xr:uid="{00000000-0005-0000-0000-0000E0460000}"/>
    <cellStyle name="Normal 15 2 2 2 2 2 2" xfId="13932" xr:uid="{00000000-0005-0000-0000-0000E1460000}"/>
    <cellStyle name="Normal 15 2 2 2 2 2 2 2" xfId="13933" xr:uid="{00000000-0005-0000-0000-0000E2460000}"/>
    <cellStyle name="Normal 15 2 2 2 2 2 2 2 2" xfId="13934" xr:uid="{00000000-0005-0000-0000-0000E3460000}"/>
    <cellStyle name="Normal 15 2 2 2 2 2 2 3" xfId="13935" xr:uid="{00000000-0005-0000-0000-0000E4460000}"/>
    <cellStyle name="Normal 15 2 2 2 2 2 3" xfId="13936" xr:uid="{00000000-0005-0000-0000-0000E5460000}"/>
    <cellStyle name="Normal 15 2 2 2 2 2 3 2" xfId="13937" xr:uid="{00000000-0005-0000-0000-0000E6460000}"/>
    <cellStyle name="Normal 15 2 2 2 2 2 4" xfId="13938" xr:uid="{00000000-0005-0000-0000-0000E7460000}"/>
    <cellStyle name="Normal 15 2 2 2 2 3" xfId="13939" xr:uid="{00000000-0005-0000-0000-0000E8460000}"/>
    <cellStyle name="Normal 15 2 2 2 2 3 2" xfId="13940" xr:uid="{00000000-0005-0000-0000-0000E9460000}"/>
    <cellStyle name="Normal 15 2 2 2 2 3 2 2" xfId="13941" xr:uid="{00000000-0005-0000-0000-0000EA460000}"/>
    <cellStyle name="Normal 15 2 2 2 2 3 3" xfId="13942" xr:uid="{00000000-0005-0000-0000-0000EB460000}"/>
    <cellStyle name="Normal 15 2 2 2 2 4" xfId="13943" xr:uid="{00000000-0005-0000-0000-0000EC460000}"/>
    <cellStyle name="Normal 15 2 2 2 2 4 2" xfId="13944" xr:uid="{00000000-0005-0000-0000-0000ED460000}"/>
    <cellStyle name="Normal 15 2 2 2 2 5" xfId="13945" xr:uid="{00000000-0005-0000-0000-0000EE460000}"/>
    <cellStyle name="Normal 15 2 2 2 3" xfId="13946" xr:uid="{00000000-0005-0000-0000-0000EF460000}"/>
    <cellStyle name="Normal 15 2 2 2 3 2" xfId="13947" xr:uid="{00000000-0005-0000-0000-0000F0460000}"/>
    <cellStyle name="Normal 15 2 2 2 3 2 2" xfId="13948" xr:uid="{00000000-0005-0000-0000-0000F1460000}"/>
    <cellStyle name="Normal 15 2 2 2 3 2 2 2" xfId="13949" xr:uid="{00000000-0005-0000-0000-0000F2460000}"/>
    <cellStyle name="Normal 15 2 2 2 3 2 3" xfId="13950" xr:uid="{00000000-0005-0000-0000-0000F3460000}"/>
    <cellStyle name="Normal 15 2 2 2 3 3" xfId="13951" xr:uid="{00000000-0005-0000-0000-0000F4460000}"/>
    <cellStyle name="Normal 15 2 2 2 3 3 2" xfId="13952" xr:uid="{00000000-0005-0000-0000-0000F5460000}"/>
    <cellStyle name="Normal 15 2 2 2 3 4" xfId="13953" xr:uid="{00000000-0005-0000-0000-0000F6460000}"/>
    <cellStyle name="Normal 15 2 2 2 4" xfId="13954" xr:uid="{00000000-0005-0000-0000-0000F7460000}"/>
    <cellStyle name="Normal 15 2 2 2 4 2" xfId="13955" xr:uid="{00000000-0005-0000-0000-0000F8460000}"/>
    <cellStyle name="Normal 15 2 2 2 4 2 2" xfId="13956" xr:uid="{00000000-0005-0000-0000-0000F9460000}"/>
    <cellStyle name="Normal 15 2 2 2 4 3" xfId="13957" xr:uid="{00000000-0005-0000-0000-0000FA460000}"/>
    <cellStyle name="Normal 15 2 2 2 5" xfId="13958" xr:uid="{00000000-0005-0000-0000-0000FB460000}"/>
    <cellStyle name="Normal 15 2 2 2 5 2" xfId="13959" xr:uid="{00000000-0005-0000-0000-0000FC460000}"/>
    <cellStyle name="Normal 15 2 2 2 6" xfId="13960" xr:uid="{00000000-0005-0000-0000-0000FD460000}"/>
    <cellStyle name="Normal 15 2 2 3" xfId="13961" xr:uid="{00000000-0005-0000-0000-0000FE460000}"/>
    <cellStyle name="Normal 15 2 2 3 2" xfId="13962" xr:uid="{00000000-0005-0000-0000-0000FF460000}"/>
    <cellStyle name="Normal 15 2 2 3 2 2" xfId="13963" xr:uid="{00000000-0005-0000-0000-000000470000}"/>
    <cellStyle name="Normal 15 2 2 3 2 2 2" xfId="13964" xr:uid="{00000000-0005-0000-0000-000001470000}"/>
    <cellStyle name="Normal 15 2 2 3 2 2 2 2" xfId="13965" xr:uid="{00000000-0005-0000-0000-000002470000}"/>
    <cellStyle name="Normal 15 2 2 3 2 2 3" xfId="13966" xr:uid="{00000000-0005-0000-0000-000003470000}"/>
    <cellStyle name="Normal 15 2 2 3 2 3" xfId="13967" xr:uid="{00000000-0005-0000-0000-000004470000}"/>
    <cellStyle name="Normal 15 2 2 3 2 3 2" xfId="13968" xr:uid="{00000000-0005-0000-0000-000005470000}"/>
    <cellStyle name="Normal 15 2 2 3 2 4" xfId="13969" xr:uid="{00000000-0005-0000-0000-000006470000}"/>
    <cellStyle name="Normal 15 2 2 3 3" xfId="13970" xr:uid="{00000000-0005-0000-0000-000007470000}"/>
    <cellStyle name="Normal 15 2 2 3 3 2" xfId="13971" xr:uid="{00000000-0005-0000-0000-000008470000}"/>
    <cellStyle name="Normal 15 2 2 3 3 2 2" xfId="13972" xr:uid="{00000000-0005-0000-0000-000009470000}"/>
    <cellStyle name="Normal 15 2 2 3 3 3" xfId="13973" xr:uid="{00000000-0005-0000-0000-00000A470000}"/>
    <cellStyle name="Normal 15 2 2 3 4" xfId="13974" xr:uid="{00000000-0005-0000-0000-00000B470000}"/>
    <cellStyle name="Normal 15 2 2 3 4 2" xfId="13975" xr:uid="{00000000-0005-0000-0000-00000C470000}"/>
    <cellStyle name="Normal 15 2 2 3 5" xfId="13976" xr:uid="{00000000-0005-0000-0000-00000D470000}"/>
    <cellStyle name="Normal 15 2 2 4" xfId="13977" xr:uid="{00000000-0005-0000-0000-00000E470000}"/>
    <cellStyle name="Normal 15 2 2 4 2" xfId="13978" xr:uid="{00000000-0005-0000-0000-00000F470000}"/>
    <cellStyle name="Normal 15 2 2 4 2 2" xfId="13979" xr:uid="{00000000-0005-0000-0000-000010470000}"/>
    <cellStyle name="Normal 15 2 2 4 2 2 2" xfId="13980" xr:uid="{00000000-0005-0000-0000-000011470000}"/>
    <cellStyle name="Normal 15 2 2 4 2 3" xfId="13981" xr:uid="{00000000-0005-0000-0000-000012470000}"/>
    <cellStyle name="Normal 15 2 2 4 3" xfId="13982" xr:uid="{00000000-0005-0000-0000-000013470000}"/>
    <cellStyle name="Normal 15 2 2 4 3 2" xfId="13983" xr:uid="{00000000-0005-0000-0000-000014470000}"/>
    <cellStyle name="Normal 15 2 2 4 4" xfId="13984" xr:uid="{00000000-0005-0000-0000-000015470000}"/>
    <cellStyle name="Normal 15 2 2 5" xfId="13985" xr:uid="{00000000-0005-0000-0000-000016470000}"/>
    <cellStyle name="Normal 15 2 2 5 2" xfId="13986" xr:uid="{00000000-0005-0000-0000-000017470000}"/>
    <cellStyle name="Normal 15 2 2 5 2 2" xfId="13987" xr:uid="{00000000-0005-0000-0000-000018470000}"/>
    <cellStyle name="Normal 15 2 2 5 3" xfId="13988" xr:uid="{00000000-0005-0000-0000-000019470000}"/>
    <cellStyle name="Normal 15 2 2 6" xfId="13989" xr:uid="{00000000-0005-0000-0000-00001A470000}"/>
    <cellStyle name="Normal 15 2 2 6 2" xfId="13990" xr:uid="{00000000-0005-0000-0000-00001B470000}"/>
    <cellStyle name="Normal 15 2 2 7" xfId="13991" xr:uid="{00000000-0005-0000-0000-00001C470000}"/>
    <cellStyle name="Normal 15 2 3" xfId="13992" xr:uid="{00000000-0005-0000-0000-00001D470000}"/>
    <cellStyle name="Normal 15 2 3 2" xfId="13993" xr:uid="{00000000-0005-0000-0000-00001E470000}"/>
    <cellStyle name="Normal 15 2 3 2 2" xfId="13994" xr:uid="{00000000-0005-0000-0000-00001F470000}"/>
    <cellStyle name="Normal 15 2 3 2 2 2" xfId="13995" xr:uid="{00000000-0005-0000-0000-000020470000}"/>
    <cellStyle name="Normal 15 2 3 2 2 2 2" xfId="13996" xr:uid="{00000000-0005-0000-0000-000021470000}"/>
    <cellStyle name="Normal 15 2 3 2 2 2 2 2" xfId="13997" xr:uid="{00000000-0005-0000-0000-000022470000}"/>
    <cellStyle name="Normal 15 2 3 2 2 2 3" xfId="13998" xr:uid="{00000000-0005-0000-0000-000023470000}"/>
    <cellStyle name="Normal 15 2 3 2 2 3" xfId="13999" xr:uid="{00000000-0005-0000-0000-000024470000}"/>
    <cellStyle name="Normal 15 2 3 2 2 3 2" xfId="14000" xr:uid="{00000000-0005-0000-0000-000025470000}"/>
    <cellStyle name="Normal 15 2 3 2 2 4" xfId="14001" xr:uid="{00000000-0005-0000-0000-000026470000}"/>
    <cellStyle name="Normal 15 2 3 2 3" xfId="14002" xr:uid="{00000000-0005-0000-0000-000027470000}"/>
    <cellStyle name="Normal 15 2 3 2 3 2" xfId="14003" xr:uid="{00000000-0005-0000-0000-000028470000}"/>
    <cellStyle name="Normal 15 2 3 2 3 2 2" xfId="14004" xr:uid="{00000000-0005-0000-0000-000029470000}"/>
    <cellStyle name="Normal 15 2 3 2 3 3" xfId="14005" xr:uid="{00000000-0005-0000-0000-00002A470000}"/>
    <cellStyle name="Normal 15 2 3 2 4" xfId="14006" xr:uid="{00000000-0005-0000-0000-00002B470000}"/>
    <cellStyle name="Normal 15 2 3 2 4 2" xfId="14007" xr:uid="{00000000-0005-0000-0000-00002C470000}"/>
    <cellStyle name="Normal 15 2 3 2 5" xfId="14008" xr:uid="{00000000-0005-0000-0000-00002D470000}"/>
    <cellStyle name="Normal 15 2 3 3" xfId="14009" xr:uid="{00000000-0005-0000-0000-00002E470000}"/>
    <cellStyle name="Normal 15 2 3 3 2" xfId="14010" xr:uid="{00000000-0005-0000-0000-00002F470000}"/>
    <cellStyle name="Normal 15 2 3 3 2 2" xfId="14011" xr:uid="{00000000-0005-0000-0000-000030470000}"/>
    <cellStyle name="Normal 15 2 3 3 2 2 2" xfId="14012" xr:uid="{00000000-0005-0000-0000-000031470000}"/>
    <cellStyle name="Normal 15 2 3 3 2 3" xfId="14013" xr:uid="{00000000-0005-0000-0000-000032470000}"/>
    <cellStyle name="Normal 15 2 3 3 3" xfId="14014" xr:uid="{00000000-0005-0000-0000-000033470000}"/>
    <cellStyle name="Normal 15 2 3 3 3 2" xfId="14015" xr:uid="{00000000-0005-0000-0000-000034470000}"/>
    <cellStyle name="Normal 15 2 3 3 4" xfId="14016" xr:uid="{00000000-0005-0000-0000-000035470000}"/>
    <cellStyle name="Normal 15 2 3 4" xfId="14017" xr:uid="{00000000-0005-0000-0000-000036470000}"/>
    <cellStyle name="Normal 15 2 3 4 2" xfId="14018" xr:uid="{00000000-0005-0000-0000-000037470000}"/>
    <cellStyle name="Normal 15 2 3 4 2 2" xfId="14019" xr:uid="{00000000-0005-0000-0000-000038470000}"/>
    <cellStyle name="Normal 15 2 3 4 3" xfId="14020" xr:uid="{00000000-0005-0000-0000-000039470000}"/>
    <cellStyle name="Normal 15 2 3 5" xfId="14021" xr:uid="{00000000-0005-0000-0000-00003A470000}"/>
    <cellStyle name="Normal 15 2 3 5 2" xfId="14022" xr:uid="{00000000-0005-0000-0000-00003B470000}"/>
    <cellStyle name="Normal 15 2 3 6" xfId="14023" xr:uid="{00000000-0005-0000-0000-00003C470000}"/>
    <cellStyle name="Normal 15 2 4" xfId="14024" xr:uid="{00000000-0005-0000-0000-00003D470000}"/>
    <cellStyle name="Normal 15 2 4 2" xfId="14025" xr:uid="{00000000-0005-0000-0000-00003E470000}"/>
    <cellStyle name="Normal 15 2 4 2 2" xfId="14026" xr:uid="{00000000-0005-0000-0000-00003F470000}"/>
    <cellStyle name="Normal 15 2 4 2 2 2" xfId="14027" xr:uid="{00000000-0005-0000-0000-000040470000}"/>
    <cellStyle name="Normal 15 2 4 2 2 2 2" xfId="14028" xr:uid="{00000000-0005-0000-0000-000041470000}"/>
    <cellStyle name="Normal 15 2 4 2 2 3" xfId="14029" xr:uid="{00000000-0005-0000-0000-000042470000}"/>
    <cellStyle name="Normal 15 2 4 2 3" xfId="14030" xr:uid="{00000000-0005-0000-0000-000043470000}"/>
    <cellStyle name="Normal 15 2 4 2 3 2" xfId="14031" xr:uid="{00000000-0005-0000-0000-000044470000}"/>
    <cellStyle name="Normal 15 2 4 2 4" xfId="14032" xr:uid="{00000000-0005-0000-0000-000045470000}"/>
    <cellStyle name="Normal 15 2 4 3" xfId="14033" xr:uid="{00000000-0005-0000-0000-000046470000}"/>
    <cellStyle name="Normal 15 2 4 3 2" xfId="14034" xr:uid="{00000000-0005-0000-0000-000047470000}"/>
    <cellStyle name="Normal 15 2 4 3 2 2" xfId="14035" xr:uid="{00000000-0005-0000-0000-000048470000}"/>
    <cellStyle name="Normal 15 2 4 3 3" xfId="14036" xr:uid="{00000000-0005-0000-0000-000049470000}"/>
    <cellStyle name="Normal 15 2 4 4" xfId="14037" xr:uid="{00000000-0005-0000-0000-00004A470000}"/>
    <cellStyle name="Normal 15 2 4 4 2" xfId="14038" xr:uid="{00000000-0005-0000-0000-00004B470000}"/>
    <cellStyle name="Normal 15 2 4 5" xfId="14039" xr:uid="{00000000-0005-0000-0000-00004C470000}"/>
    <cellStyle name="Normal 15 2 5" xfId="14040" xr:uid="{00000000-0005-0000-0000-00004D470000}"/>
    <cellStyle name="Normal 15 2 5 2" xfId="14041" xr:uid="{00000000-0005-0000-0000-00004E470000}"/>
    <cellStyle name="Normal 15 2 5 2 2" xfId="14042" xr:uid="{00000000-0005-0000-0000-00004F470000}"/>
    <cellStyle name="Normal 15 2 5 2 2 2" xfId="14043" xr:uid="{00000000-0005-0000-0000-000050470000}"/>
    <cellStyle name="Normal 15 2 5 2 3" xfId="14044" xr:uid="{00000000-0005-0000-0000-000051470000}"/>
    <cellStyle name="Normal 15 2 5 3" xfId="14045" xr:uid="{00000000-0005-0000-0000-000052470000}"/>
    <cellStyle name="Normal 15 2 5 3 2" xfId="14046" xr:uid="{00000000-0005-0000-0000-000053470000}"/>
    <cellStyle name="Normal 15 2 5 4" xfId="14047" xr:uid="{00000000-0005-0000-0000-000054470000}"/>
    <cellStyle name="Normal 15 2 6" xfId="14048" xr:uid="{00000000-0005-0000-0000-000055470000}"/>
    <cellStyle name="Normal 15 2 6 2" xfId="14049" xr:uid="{00000000-0005-0000-0000-000056470000}"/>
    <cellStyle name="Normal 15 2 6 2 2" xfId="14050" xr:uid="{00000000-0005-0000-0000-000057470000}"/>
    <cellStyle name="Normal 15 2 6 3" xfId="14051" xr:uid="{00000000-0005-0000-0000-000058470000}"/>
    <cellStyle name="Normal 15 2 7" xfId="14052" xr:uid="{00000000-0005-0000-0000-000059470000}"/>
    <cellStyle name="Normal 15 2 7 2" xfId="14053" xr:uid="{00000000-0005-0000-0000-00005A470000}"/>
    <cellStyle name="Normal 15 2 8" xfId="14054" xr:uid="{00000000-0005-0000-0000-00005B470000}"/>
    <cellStyle name="Normal 15 3" xfId="14055" xr:uid="{00000000-0005-0000-0000-00005C470000}"/>
    <cellStyle name="Normal 15 3 2" xfId="14056" xr:uid="{00000000-0005-0000-0000-00005D470000}"/>
    <cellStyle name="Normal 15 3 2 2" xfId="14057" xr:uid="{00000000-0005-0000-0000-00005E470000}"/>
    <cellStyle name="Normal 15 3 2 2 2" xfId="14058" xr:uid="{00000000-0005-0000-0000-00005F470000}"/>
    <cellStyle name="Normal 15 3 2 2 2 2" xfId="14059" xr:uid="{00000000-0005-0000-0000-000060470000}"/>
    <cellStyle name="Normal 15 3 2 2 2 2 2" xfId="14060" xr:uid="{00000000-0005-0000-0000-000061470000}"/>
    <cellStyle name="Normal 15 3 2 2 2 2 2 2" xfId="14061" xr:uid="{00000000-0005-0000-0000-000062470000}"/>
    <cellStyle name="Normal 15 3 2 2 2 2 3" xfId="14062" xr:uid="{00000000-0005-0000-0000-000063470000}"/>
    <cellStyle name="Normal 15 3 2 2 2 3" xfId="14063" xr:uid="{00000000-0005-0000-0000-000064470000}"/>
    <cellStyle name="Normal 15 3 2 2 2 3 2" xfId="14064" xr:uid="{00000000-0005-0000-0000-000065470000}"/>
    <cellStyle name="Normal 15 3 2 2 2 4" xfId="14065" xr:uid="{00000000-0005-0000-0000-000066470000}"/>
    <cellStyle name="Normal 15 3 2 2 3" xfId="14066" xr:uid="{00000000-0005-0000-0000-000067470000}"/>
    <cellStyle name="Normal 15 3 2 2 3 2" xfId="14067" xr:uid="{00000000-0005-0000-0000-000068470000}"/>
    <cellStyle name="Normal 15 3 2 2 3 2 2" xfId="14068" xr:uid="{00000000-0005-0000-0000-000069470000}"/>
    <cellStyle name="Normal 15 3 2 2 3 3" xfId="14069" xr:uid="{00000000-0005-0000-0000-00006A470000}"/>
    <cellStyle name="Normal 15 3 2 2 4" xfId="14070" xr:uid="{00000000-0005-0000-0000-00006B470000}"/>
    <cellStyle name="Normal 15 3 2 2 4 2" xfId="14071" xr:uid="{00000000-0005-0000-0000-00006C470000}"/>
    <cellStyle name="Normal 15 3 2 2 5" xfId="14072" xr:uid="{00000000-0005-0000-0000-00006D470000}"/>
    <cellStyle name="Normal 15 3 2 3" xfId="14073" xr:uid="{00000000-0005-0000-0000-00006E470000}"/>
    <cellStyle name="Normal 15 3 2 3 2" xfId="14074" xr:uid="{00000000-0005-0000-0000-00006F470000}"/>
    <cellStyle name="Normal 15 3 2 3 2 2" xfId="14075" xr:uid="{00000000-0005-0000-0000-000070470000}"/>
    <cellStyle name="Normal 15 3 2 3 2 2 2" xfId="14076" xr:uid="{00000000-0005-0000-0000-000071470000}"/>
    <cellStyle name="Normal 15 3 2 3 2 3" xfId="14077" xr:uid="{00000000-0005-0000-0000-000072470000}"/>
    <cellStyle name="Normal 15 3 2 3 3" xfId="14078" xr:uid="{00000000-0005-0000-0000-000073470000}"/>
    <cellStyle name="Normal 15 3 2 3 3 2" xfId="14079" xr:uid="{00000000-0005-0000-0000-000074470000}"/>
    <cellStyle name="Normal 15 3 2 3 4" xfId="14080" xr:uid="{00000000-0005-0000-0000-000075470000}"/>
    <cellStyle name="Normal 15 3 2 4" xfId="14081" xr:uid="{00000000-0005-0000-0000-000076470000}"/>
    <cellStyle name="Normal 15 3 2 4 2" xfId="14082" xr:uid="{00000000-0005-0000-0000-000077470000}"/>
    <cellStyle name="Normal 15 3 2 4 2 2" xfId="14083" xr:uid="{00000000-0005-0000-0000-000078470000}"/>
    <cellStyle name="Normal 15 3 2 4 3" xfId="14084" xr:uid="{00000000-0005-0000-0000-000079470000}"/>
    <cellStyle name="Normal 15 3 2 5" xfId="14085" xr:uid="{00000000-0005-0000-0000-00007A470000}"/>
    <cellStyle name="Normal 15 3 2 5 2" xfId="14086" xr:uid="{00000000-0005-0000-0000-00007B470000}"/>
    <cellStyle name="Normal 15 3 2 6" xfId="14087" xr:uid="{00000000-0005-0000-0000-00007C470000}"/>
    <cellStyle name="Normal 15 3 3" xfId="14088" xr:uid="{00000000-0005-0000-0000-00007D470000}"/>
    <cellStyle name="Normal 15 3 3 2" xfId="14089" xr:uid="{00000000-0005-0000-0000-00007E470000}"/>
    <cellStyle name="Normal 15 3 3 2 2" xfId="14090" xr:uid="{00000000-0005-0000-0000-00007F470000}"/>
    <cellStyle name="Normal 15 3 3 2 2 2" xfId="14091" xr:uid="{00000000-0005-0000-0000-000080470000}"/>
    <cellStyle name="Normal 15 3 3 2 2 2 2" xfId="14092" xr:uid="{00000000-0005-0000-0000-000081470000}"/>
    <cellStyle name="Normal 15 3 3 2 2 3" xfId="14093" xr:uid="{00000000-0005-0000-0000-000082470000}"/>
    <cellStyle name="Normal 15 3 3 2 3" xfId="14094" xr:uid="{00000000-0005-0000-0000-000083470000}"/>
    <cellStyle name="Normal 15 3 3 2 3 2" xfId="14095" xr:uid="{00000000-0005-0000-0000-000084470000}"/>
    <cellStyle name="Normal 15 3 3 2 4" xfId="14096" xr:uid="{00000000-0005-0000-0000-000085470000}"/>
    <cellStyle name="Normal 15 3 3 3" xfId="14097" xr:uid="{00000000-0005-0000-0000-000086470000}"/>
    <cellStyle name="Normal 15 3 3 3 2" xfId="14098" xr:uid="{00000000-0005-0000-0000-000087470000}"/>
    <cellStyle name="Normal 15 3 3 3 2 2" xfId="14099" xr:uid="{00000000-0005-0000-0000-000088470000}"/>
    <cellStyle name="Normal 15 3 3 3 3" xfId="14100" xr:uid="{00000000-0005-0000-0000-000089470000}"/>
    <cellStyle name="Normal 15 3 3 4" xfId="14101" xr:uid="{00000000-0005-0000-0000-00008A470000}"/>
    <cellStyle name="Normal 15 3 3 4 2" xfId="14102" xr:uid="{00000000-0005-0000-0000-00008B470000}"/>
    <cellStyle name="Normal 15 3 3 5" xfId="14103" xr:uid="{00000000-0005-0000-0000-00008C470000}"/>
    <cellStyle name="Normal 15 3 4" xfId="14104" xr:uid="{00000000-0005-0000-0000-00008D470000}"/>
    <cellStyle name="Normal 15 3 4 2" xfId="14105" xr:uid="{00000000-0005-0000-0000-00008E470000}"/>
    <cellStyle name="Normal 15 3 4 2 2" xfId="14106" xr:uid="{00000000-0005-0000-0000-00008F470000}"/>
    <cellStyle name="Normal 15 3 4 2 2 2" xfId="14107" xr:uid="{00000000-0005-0000-0000-000090470000}"/>
    <cellStyle name="Normal 15 3 4 2 3" xfId="14108" xr:uid="{00000000-0005-0000-0000-000091470000}"/>
    <cellStyle name="Normal 15 3 4 3" xfId="14109" xr:uid="{00000000-0005-0000-0000-000092470000}"/>
    <cellStyle name="Normal 15 3 4 3 2" xfId="14110" xr:uid="{00000000-0005-0000-0000-000093470000}"/>
    <cellStyle name="Normal 15 3 4 4" xfId="14111" xr:uid="{00000000-0005-0000-0000-000094470000}"/>
    <cellStyle name="Normal 15 3 5" xfId="14112" xr:uid="{00000000-0005-0000-0000-000095470000}"/>
    <cellStyle name="Normal 15 3 5 2" xfId="14113" xr:uid="{00000000-0005-0000-0000-000096470000}"/>
    <cellStyle name="Normal 15 3 5 2 2" xfId="14114" xr:uid="{00000000-0005-0000-0000-000097470000}"/>
    <cellStyle name="Normal 15 3 5 3" xfId="14115" xr:uid="{00000000-0005-0000-0000-000098470000}"/>
    <cellStyle name="Normal 15 3 6" xfId="14116" xr:uid="{00000000-0005-0000-0000-000099470000}"/>
    <cellStyle name="Normal 15 3 6 2" xfId="14117" xr:uid="{00000000-0005-0000-0000-00009A470000}"/>
    <cellStyle name="Normal 15 3 7" xfId="14118" xr:uid="{00000000-0005-0000-0000-00009B470000}"/>
    <cellStyle name="Normal 15 4" xfId="14119" xr:uid="{00000000-0005-0000-0000-00009C470000}"/>
    <cellStyle name="Normal 15 4 2" xfId="14120" xr:uid="{00000000-0005-0000-0000-00009D470000}"/>
    <cellStyle name="Normal 15 4 2 2" xfId="14121" xr:uid="{00000000-0005-0000-0000-00009E470000}"/>
    <cellStyle name="Normal 15 4 2 2 2" xfId="14122" xr:uid="{00000000-0005-0000-0000-00009F470000}"/>
    <cellStyle name="Normal 15 4 2 2 2 2" xfId="14123" xr:uid="{00000000-0005-0000-0000-0000A0470000}"/>
    <cellStyle name="Normal 15 4 2 2 2 2 2" xfId="14124" xr:uid="{00000000-0005-0000-0000-0000A1470000}"/>
    <cellStyle name="Normal 15 4 2 2 2 3" xfId="14125" xr:uid="{00000000-0005-0000-0000-0000A2470000}"/>
    <cellStyle name="Normal 15 4 2 2 3" xfId="14126" xr:uid="{00000000-0005-0000-0000-0000A3470000}"/>
    <cellStyle name="Normal 15 4 2 2 3 2" xfId="14127" xr:uid="{00000000-0005-0000-0000-0000A4470000}"/>
    <cellStyle name="Normal 15 4 2 2 4" xfId="14128" xr:uid="{00000000-0005-0000-0000-0000A5470000}"/>
    <cellStyle name="Normal 15 4 2 3" xfId="14129" xr:uid="{00000000-0005-0000-0000-0000A6470000}"/>
    <cellStyle name="Normal 15 4 2 3 2" xfId="14130" xr:uid="{00000000-0005-0000-0000-0000A7470000}"/>
    <cellStyle name="Normal 15 4 2 3 2 2" xfId="14131" xr:uid="{00000000-0005-0000-0000-0000A8470000}"/>
    <cellStyle name="Normal 15 4 2 3 3" xfId="14132" xr:uid="{00000000-0005-0000-0000-0000A9470000}"/>
    <cellStyle name="Normal 15 4 2 4" xfId="14133" xr:uid="{00000000-0005-0000-0000-0000AA470000}"/>
    <cellStyle name="Normal 15 4 2 4 2" xfId="14134" xr:uid="{00000000-0005-0000-0000-0000AB470000}"/>
    <cellStyle name="Normal 15 4 2 5" xfId="14135" xr:uid="{00000000-0005-0000-0000-0000AC470000}"/>
    <cellStyle name="Normal 15 4 3" xfId="14136" xr:uid="{00000000-0005-0000-0000-0000AD470000}"/>
    <cellStyle name="Normal 15 4 3 2" xfId="14137" xr:uid="{00000000-0005-0000-0000-0000AE470000}"/>
    <cellStyle name="Normal 15 4 3 2 2" xfId="14138" xr:uid="{00000000-0005-0000-0000-0000AF470000}"/>
    <cellStyle name="Normal 15 4 3 2 2 2" xfId="14139" xr:uid="{00000000-0005-0000-0000-0000B0470000}"/>
    <cellStyle name="Normal 15 4 3 2 3" xfId="14140" xr:uid="{00000000-0005-0000-0000-0000B1470000}"/>
    <cellStyle name="Normal 15 4 3 3" xfId="14141" xr:uid="{00000000-0005-0000-0000-0000B2470000}"/>
    <cellStyle name="Normal 15 4 3 3 2" xfId="14142" xr:uid="{00000000-0005-0000-0000-0000B3470000}"/>
    <cellStyle name="Normal 15 4 3 4" xfId="14143" xr:uid="{00000000-0005-0000-0000-0000B4470000}"/>
    <cellStyle name="Normal 15 4 4" xfId="14144" xr:uid="{00000000-0005-0000-0000-0000B5470000}"/>
    <cellStyle name="Normal 15 4 4 2" xfId="14145" xr:uid="{00000000-0005-0000-0000-0000B6470000}"/>
    <cellStyle name="Normal 15 4 4 2 2" xfId="14146" xr:uid="{00000000-0005-0000-0000-0000B7470000}"/>
    <cellStyle name="Normal 15 4 4 3" xfId="14147" xr:uid="{00000000-0005-0000-0000-0000B8470000}"/>
    <cellStyle name="Normal 15 4 5" xfId="14148" xr:uid="{00000000-0005-0000-0000-0000B9470000}"/>
    <cellStyle name="Normal 15 4 5 2" xfId="14149" xr:uid="{00000000-0005-0000-0000-0000BA470000}"/>
    <cellStyle name="Normal 15 4 6" xfId="14150" xr:uid="{00000000-0005-0000-0000-0000BB470000}"/>
    <cellStyle name="Normal 15 5" xfId="14151" xr:uid="{00000000-0005-0000-0000-0000BC470000}"/>
    <cellStyle name="Normal 15 5 2" xfId="14152" xr:uid="{00000000-0005-0000-0000-0000BD470000}"/>
    <cellStyle name="Normal 15 5 2 2" xfId="14153" xr:uid="{00000000-0005-0000-0000-0000BE470000}"/>
    <cellStyle name="Normal 15 5 2 2 2" xfId="14154" xr:uid="{00000000-0005-0000-0000-0000BF470000}"/>
    <cellStyle name="Normal 15 5 2 2 2 2" xfId="14155" xr:uid="{00000000-0005-0000-0000-0000C0470000}"/>
    <cellStyle name="Normal 15 5 2 2 3" xfId="14156" xr:uid="{00000000-0005-0000-0000-0000C1470000}"/>
    <cellStyle name="Normal 15 5 2 3" xfId="14157" xr:uid="{00000000-0005-0000-0000-0000C2470000}"/>
    <cellStyle name="Normal 15 5 2 3 2" xfId="14158" xr:uid="{00000000-0005-0000-0000-0000C3470000}"/>
    <cellStyle name="Normal 15 5 2 4" xfId="14159" xr:uid="{00000000-0005-0000-0000-0000C4470000}"/>
    <cellStyle name="Normal 15 5 3" xfId="14160" xr:uid="{00000000-0005-0000-0000-0000C5470000}"/>
    <cellStyle name="Normal 15 5 3 2" xfId="14161" xr:uid="{00000000-0005-0000-0000-0000C6470000}"/>
    <cellStyle name="Normal 15 5 3 2 2" xfId="14162" xr:uid="{00000000-0005-0000-0000-0000C7470000}"/>
    <cellStyle name="Normal 15 5 3 3" xfId="14163" xr:uid="{00000000-0005-0000-0000-0000C8470000}"/>
    <cellStyle name="Normal 15 5 4" xfId="14164" xr:uid="{00000000-0005-0000-0000-0000C9470000}"/>
    <cellStyle name="Normal 15 5 4 2" xfId="14165" xr:uid="{00000000-0005-0000-0000-0000CA470000}"/>
    <cellStyle name="Normal 15 5 5" xfId="14166" xr:uid="{00000000-0005-0000-0000-0000CB470000}"/>
    <cellStyle name="Normal 15 6" xfId="14167" xr:uid="{00000000-0005-0000-0000-0000CC470000}"/>
    <cellStyle name="Normal 15 6 2" xfId="14168" xr:uid="{00000000-0005-0000-0000-0000CD470000}"/>
    <cellStyle name="Normal 15 6 2 2" xfId="14169" xr:uid="{00000000-0005-0000-0000-0000CE470000}"/>
    <cellStyle name="Normal 15 6 2 2 2" xfId="14170" xr:uid="{00000000-0005-0000-0000-0000CF470000}"/>
    <cellStyle name="Normal 15 6 2 3" xfId="14171" xr:uid="{00000000-0005-0000-0000-0000D0470000}"/>
    <cellStyle name="Normal 15 6 3" xfId="14172" xr:uid="{00000000-0005-0000-0000-0000D1470000}"/>
    <cellStyle name="Normal 15 6 3 2" xfId="14173" xr:uid="{00000000-0005-0000-0000-0000D2470000}"/>
    <cellStyle name="Normal 15 6 4" xfId="14174" xr:uid="{00000000-0005-0000-0000-0000D3470000}"/>
    <cellStyle name="Normal 15 7" xfId="14175" xr:uid="{00000000-0005-0000-0000-0000D4470000}"/>
    <cellStyle name="Normal 15 7 2" xfId="14176" xr:uid="{00000000-0005-0000-0000-0000D5470000}"/>
    <cellStyle name="Normal 15 7 2 2" xfId="14177" xr:uid="{00000000-0005-0000-0000-0000D6470000}"/>
    <cellStyle name="Normal 15 7 3" xfId="14178" xr:uid="{00000000-0005-0000-0000-0000D7470000}"/>
    <cellStyle name="Normal 15 8" xfId="14179" xr:uid="{00000000-0005-0000-0000-0000D8470000}"/>
    <cellStyle name="Normal 15 8 2" xfId="14180" xr:uid="{00000000-0005-0000-0000-0000D9470000}"/>
    <cellStyle name="Normal 15 9" xfId="14181" xr:uid="{00000000-0005-0000-0000-0000DA470000}"/>
    <cellStyle name="Normal 16" xfId="14182" xr:uid="{00000000-0005-0000-0000-0000DB470000}"/>
    <cellStyle name="Normal 16 2" xfId="14183" xr:uid="{00000000-0005-0000-0000-0000DC470000}"/>
    <cellStyle name="Normal 16 2 2" xfId="14184" xr:uid="{00000000-0005-0000-0000-0000DD470000}"/>
    <cellStyle name="Normal 16 2 3" xfId="18841" xr:uid="{00000000-0005-0000-0000-0000DE470000}"/>
    <cellStyle name="Normal 16 3" xfId="14185" xr:uid="{00000000-0005-0000-0000-0000DF470000}"/>
    <cellStyle name="Normal 16 3 2" xfId="18784" xr:uid="{00000000-0005-0000-0000-0000E0470000}"/>
    <cellStyle name="Normal 16 4" xfId="18741" xr:uid="{00000000-0005-0000-0000-0000E1470000}"/>
    <cellStyle name="Normal 17" xfId="14186" xr:uid="{00000000-0005-0000-0000-0000E2470000}"/>
    <cellStyle name="Normal 17 2" xfId="14187" xr:uid="{00000000-0005-0000-0000-0000E3470000}"/>
    <cellStyle name="Normal 17 2 2" xfId="14188" xr:uid="{00000000-0005-0000-0000-0000E4470000}"/>
    <cellStyle name="Normal 17 2 2 2" xfId="14189" xr:uid="{00000000-0005-0000-0000-0000E5470000}"/>
    <cellStyle name="Normal 17 2 2 2 2" xfId="14190" xr:uid="{00000000-0005-0000-0000-0000E6470000}"/>
    <cellStyle name="Normal 17 2 2 2 2 2" xfId="14191" xr:uid="{00000000-0005-0000-0000-0000E7470000}"/>
    <cellStyle name="Normal 17 2 2 2 2 2 2" xfId="14192" xr:uid="{00000000-0005-0000-0000-0000E8470000}"/>
    <cellStyle name="Normal 17 2 2 2 2 2 2 2" xfId="14193" xr:uid="{00000000-0005-0000-0000-0000E9470000}"/>
    <cellStyle name="Normal 17 2 2 2 2 2 3" xfId="14194" xr:uid="{00000000-0005-0000-0000-0000EA470000}"/>
    <cellStyle name="Normal 17 2 2 2 2 3" xfId="14195" xr:uid="{00000000-0005-0000-0000-0000EB470000}"/>
    <cellStyle name="Normal 17 2 2 2 2 3 2" xfId="14196" xr:uid="{00000000-0005-0000-0000-0000EC470000}"/>
    <cellStyle name="Normal 17 2 2 2 2 4" xfId="14197" xr:uid="{00000000-0005-0000-0000-0000ED470000}"/>
    <cellStyle name="Normal 17 2 2 2 3" xfId="14198" xr:uid="{00000000-0005-0000-0000-0000EE470000}"/>
    <cellStyle name="Normal 17 2 2 2 3 2" xfId="14199" xr:uid="{00000000-0005-0000-0000-0000EF470000}"/>
    <cellStyle name="Normal 17 2 2 2 3 2 2" xfId="14200" xr:uid="{00000000-0005-0000-0000-0000F0470000}"/>
    <cellStyle name="Normal 17 2 2 2 3 3" xfId="14201" xr:uid="{00000000-0005-0000-0000-0000F1470000}"/>
    <cellStyle name="Normal 17 2 2 2 4" xfId="14202" xr:uid="{00000000-0005-0000-0000-0000F2470000}"/>
    <cellStyle name="Normal 17 2 2 2 4 2" xfId="14203" xr:uid="{00000000-0005-0000-0000-0000F3470000}"/>
    <cellStyle name="Normal 17 2 2 2 5" xfId="14204" xr:uid="{00000000-0005-0000-0000-0000F4470000}"/>
    <cellStyle name="Normal 17 2 2 3" xfId="14205" xr:uid="{00000000-0005-0000-0000-0000F5470000}"/>
    <cellStyle name="Normal 17 2 2 3 2" xfId="14206" xr:uid="{00000000-0005-0000-0000-0000F6470000}"/>
    <cellStyle name="Normal 17 2 2 3 2 2" xfId="14207" xr:uid="{00000000-0005-0000-0000-0000F7470000}"/>
    <cellStyle name="Normal 17 2 2 3 2 2 2" xfId="14208" xr:uid="{00000000-0005-0000-0000-0000F8470000}"/>
    <cellStyle name="Normal 17 2 2 3 2 3" xfId="14209" xr:uid="{00000000-0005-0000-0000-0000F9470000}"/>
    <cellStyle name="Normal 17 2 2 3 3" xfId="14210" xr:uid="{00000000-0005-0000-0000-0000FA470000}"/>
    <cellStyle name="Normal 17 2 2 3 3 2" xfId="14211" xr:uid="{00000000-0005-0000-0000-0000FB470000}"/>
    <cellStyle name="Normal 17 2 2 3 4" xfId="14212" xr:uid="{00000000-0005-0000-0000-0000FC470000}"/>
    <cellStyle name="Normal 17 2 2 4" xfId="14213" xr:uid="{00000000-0005-0000-0000-0000FD470000}"/>
    <cellStyle name="Normal 17 2 2 4 2" xfId="14214" xr:uid="{00000000-0005-0000-0000-0000FE470000}"/>
    <cellStyle name="Normal 17 2 2 4 2 2" xfId="14215" xr:uid="{00000000-0005-0000-0000-0000FF470000}"/>
    <cellStyle name="Normal 17 2 2 4 3" xfId="14216" xr:uid="{00000000-0005-0000-0000-000000480000}"/>
    <cellStyle name="Normal 17 2 2 5" xfId="14217" xr:uid="{00000000-0005-0000-0000-000001480000}"/>
    <cellStyle name="Normal 17 2 2 5 2" xfId="14218" xr:uid="{00000000-0005-0000-0000-000002480000}"/>
    <cellStyle name="Normal 17 2 2 6" xfId="14219" xr:uid="{00000000-0005-0000-0000-000003480000}"/>
    <cellStyle name="Normal 17 2 3" xfId="14220" xr:uid="{00000000-0005-0000-0000-000004480000}"/>
    <cellStyle name="Normal 17 2 3 2" xfId="14221" xr:uid="{00000000-0005-0000-0000-000005480000}"/>
    <cellStyle name="Normal 17 2 3 2 2" xfId="14222" xr:uid="{00000000-0005-0000-0000-000006480000}"/>
    <cellStyle name="Normal 17 2 3 2 2 2" xfId="14223" xr:uid="{00000000-0005-0000-0000-000007480000}"/>
    <cellStyle name="Normal 17 2 3 2 2 2 2" xfId="14224" xr:uid="{00000000-0005-0000-0000-000008480000}"/>
    <cellStyle name="Normal 17 2 3 2 2 3" xfId="14225" xr:uid="{00000000-0005-0000-0000-000009480000}"/>
    <cellStyle name="Normal 17 2 3 2 3" xfId="14226" xr:uid="{00000000-0005-0000-0000-00000A480000}"/>
    <cellStyle name="Normal 17 2 3 2 3 2" xfId="14227" xr:uid="{00000000-0005-0000-0000-00000B480000}"/>
    <cellStyle name="Normal 17 2 3 2 4" xfId="14228" xr:uid="{00000000-0005-0000-0000-00000C480000}"/>
    <cellStyle name="Normal 17 2 3 3" xfId="14229" xr:uid="{00000000-0005-0000-0000-00000D480000}"/>
    <cellStyle name="Normal 17 2 3 3 2" xfId="14230" xr:uid="{00000000-0005-0000-0000-00000E480000}"/>
    <cellStyle name="Normal 17 2 3 3 2 2" xfId="14231" xr:uid="{00000000-0005-0000-0000-00000F480000}"/>
    <cellStyle name="Normal 17 2 3 3 3" xfId="14232" xr:uid="{00000000-0005-0000-0000-000010480000}"/>
    <cellStyle name="Normal 17 2 3 4" xfId="14233" xr:uid="{00000000-0005-0000-0000-000011480000}"/>
    <cellStyle name="Normal 17 2 3 4 2" xfId="14234" xr:uid="{00000000-0005-0000-0000-000012480000}"/>
    <cellStyle name="Normal 17 2 3 5" xfId="14235" xr:uid="{00000000-0005-0000-0000-000013480000}"/>
    <cellStyle name="Normal 17 2 4" xfId="14236" xr:uid="{00000000-0005-0000-0000-000014480000}"/>
    <cellStyle name="Normal 17 2 4 2" xfId="14237" xr:uid="{00000000-0005-0000-0000-000015480000}"/>
    <cellStyle name="Normal 17 2 4 2 2" xfId="14238" xr:uid="{00000000-0005-0000-0000-000016480000}"/>
    <cellStyle name="Normal 17 2 4 2 2 2" xfId="14239" xr:uid="{00000000-0005-0000-0000-000017480000}"/>
    <cellStyle name="Normal 17 2 4 2 3" xfId="14240" xr:uid="{00000000-0005-0000-0000-000018480000}"/>
    <cellStyle name="Normal 17 2 4 3" xfId="14241" xr:uid="{00000000-0005-0000-0000-000019480000}"/>
    <cellStyle name="Normal 17 2 4 3 2" xfId="14242" xr:uid="{00000000-0005-0000-0000-00001A480000}"/>
    <cellStyle name="Normal 17 2 4 4" xfId="14243" xr:uid="{00000000-0005-0000-0000-00001B480000}"/>
    <cellStyle name="Normal 17 2 5" xfId="14244" xr:uid="{00000000-0005-0000-0000-00001C480000}"/>
    <cellStyle name="Normal 17 2 5 2" xfId="14245" xr:uid="{00000000-0005-0000-0000-00001D480000}"/>
    <cellStyle name="Normal 17 2 5 2 2" xfId="14246" xr:uid="{00000000-0005-0000-0000-00001E480000}"/>
    <cellStyle name="Normal 17 2 5 3" xfId="14247" xr:uid="{00000000-0005-0000-0000-00001F480000}"/>
    <cellStyle name="Normal 17 2 6" xfId="14248" xr:uid="{00000000-0005-0000-0000-000020480000}"/>
    <cellStyle name="Normal 17 2 6 2" xfId="14249" xr:uid="{00000000-0005-0000-0000-000021480000}"/>
    <cellStyle name="Normal 17 2 7" xfId="14250" xr:uid="{00000000-0005-0000-0000-000022480000}"/>
    <cellStyle name="Normal 17 3" xfId="14251" xr:uid="{00000000-0005-0000-0000-000023480000}"/>
    <cellStyle name="Normal 17 3 2" xfId="14252" xr:uid="{00000000-0005-0000-0000-000024480000}"/>
    <cellStyle name="Normal 17 3 2 2" xfId="14253" xr:uid="{00000000-0005-0000-0000-000025480000}"/>
    <cellStyle name="Normal 17 3 2 2 2" xfId="14254" xr:uid="{00000000-0005-0000-0000-000026480000}"/>
    <cellStyle name="Normal 17 3 2 2 2 2" xfId="14255" xr:uid="{00000000-0005-0000-0000-000027480000}"/>
    <cellStyle name="Normal 17 3 2 2 2 2 2" xfId="14256" xr:uid="{00000000-0005-0000-0000-000028480000}"/>
    <cellStyle name="Normal 17 3 2 2 2 3" xfId="14257" xr:uid="{00000000-0005-0000-0000-000029480000}"/>
    <cellStyle name="Normal 17 3 2 2 3" xfId="14258" xr:uid="{00000000-0005-0000-0000-00002A480000}"/>
    <cellStyle name="Normal 17 3 2 2 3 2" xfId="14259" xr:uid="{00000000-0005-0000-0000-00002B480000}"/>
    <cellStyle name="Normal 17 3 2 2 4" xfId="14260" xr:uid="{00000000-0005-0000-0000-00002C480000}"/>
    <cellStyle name="Normal 17 3 2 3" xfId="14261" xr:uid="{00000000-0005-0000-0000-00002D480000}"/>
    <cellStyle name="Normal 17 3 2 3 2" xfId="14262" xr:uid="{00000000-0005-0000-0000-00002E480000}"/>
    <cellStyle name="Normal 17 3 2 3 2 2" xfId="14263" xr:uid="{00000000-0005-0000-0000-00002F480000}"/>
    <cellStyle name="Normal 17 3 2 3 3" xfId="14264" xr:uid="{00000000-0005-0000-0000-000030480000}"/>
    <cellStyle name="Normal 17 3 2 4" xfId="14265" xr:uid="{00000000-0005-0000-0000-000031480000}"/>
    <cellStyle name="Normal 17 3 2 4 2" xfId="14266" xr:uid="{00000000-0005-0000-0000-000032480000}"/>
    <cellStyle name="Normal 17 3 2 5" xfId="14267" xr:uid="{00000000-0005-0000-0000-000033480000}"/>
    <cellStyle name="Normal 17 3 3" xfId="14268" xr:uid="{00000000-0005-0000-0000-000034480000}"/>
    <cellStyle name="Normal 17 3 3 2" xfId="14269" xr:uid="{00000000-0005-0000-0000-000035480000}"/>
    <cellStyle name="Normal 17 3 3 2 2" xfId="14270" xr:uid="{00000000-0005-0000-0000-000036480000}"/>
    <cellStyle name="Normal 17 3 3 2 2 2" xfId="14271" xr:uid="{00000000-0005-0000-0000-000037480000}"/>
    <cellStyle name="Normal 17 3 3 2 3" xfId="14272" xr:uid="{00000000-0005-0000-0000-000038480000}"/>
    <cellStyle name="Normal 17 3 3 3" xfId="14273" xr:uid="{00000000-0005-0000-0000-000039480000}"/>
    <cellStyle name="Normal 17 3 3 3 2" xfId="14274" xr:uid="{00000000-0005-0000-0000-00003A480000}"/>
    <cellStyle name="Normal 17 3 3 4" xfId="14275" xr:uid="{00000000-0005-0000-0000-00003B480000}"/>
    <cellStyle name="Normal 17 3 4" xfId="14276" xr:uid="{00000000-0005-0000-0000-00003C480000}"/>
    <cellStyle name="Normal 17 3 4 2" xfId="14277" xr:uid="{00000000-0005-0000-0000-00003D480000}"/>
    <cellStyle name="Normal 17 3 4 2 2" xfId="14278" xr:uid="{00000000-0005-0000-0000-00003E480000}"/>
    <cellStyle name="Normal 17 3 4 3" xfId="14279" xr:uid="{00000000-0005-0000-0000-00003F480000}"/>
    <cellStyle name="Normal 17 3 5" xfId="14280" xr:uid="{00000000-0005-0000-0000-000040480000}"/>
    <cellStyle name="Normal 17 3 5 2" xfId="14281" xr:uid="{00000000-0005-0000-0000-000041480000}"/>
    <cellStyle name="Normal 17 3 6" xfId="14282" xr:uid="{00000000-0005-0000-0000-000042480000}"/>
    <cellStyle name="Normal 17 4" xfId="14283" xr:uid="{00000000-0005-0000-0000-000043480000}"/>
    <cellStyle name="Normal 17 4 2" xfId="14284" xr:uid="{00000000-0005-0000-0000-000044480000}"/>
    <cellStyle name="Normal 17 4 2 2" xfId="14285" xr:uid="{00000000-0005-0000-0000-000045480000}"/>
    <cellStyle name="Normal 17 4 2 2 2" xfId="14286" xr:uid="{00000000-0005-0000-0000-000046480000}"/>
    <cellStyle name="Normal 17 4 2 2 2 2" xfId="14287" xr:uid="{00000000-0005-0000-0000-000047480000}"/>
    <cellStyle name="Normal 17 4 2 2 3" xfId="14288" xr:uid="{00000000-0005-0000-0000-000048480000}"/>
    <cellStyle name="Normal 17 4 2 3" xfId="14289" xr:uid="{00000000-0005-0000-0000-000049480000}"/>
    <cellStyle name="Normal 17 4 2 3 2" xfId="14290" xr:uid="{00000000-0005-0000-0000-00004A480000}"/>
    <cellStyle name="Normal 17 4 2 4" xfId="14291" xr:uid="{00000000-0005-0000-0000-00004B480000}"/>
    <cellStyle name="Normal 17 4 3" xfId="14292" xr:uid="{00000000-0005-0000-0000-00004C480000}"/>
    <cellStyle name="Normal 17 4 3 2" xfId="14293" xr:uid="{00000000-0005-0000-0000-00004D480000}"/>
    <cellStyle name="Normal 17 4 3 2 2" xfId="14294" xr:uid="{00000000-0005-0000-0000-00004E480000}"/>
    <cellStyle name="Normal 17 4 3 3" xfId="14295" xr:uid="{00000000-0005-0000-0000-00004F480000}"/>
    <cellStyle name="Normal 17 4 4" xfId="14296" xr:uid="{00000000-0005-0000-0000-000050480000}"/>
    <cellStyle name="Normal 17 4 4 2" xfId="14297" xr:uid="{00000000-0005-0000-0000-000051480000}"/>
    <cellStyle name="Normal 17 4 5" xfId="14298" xr:uid="{00000000-0005-0000-0000-000052480000}"/>
    <cellStyle name="Normal 17 5" xfId="14299" xr:uid="{00000000-0005-0000-0000-000053480000}"/>
    <cellStyle name="Normal 17 5 2" xfId="14300" xr:uid="{00000000-0005-0000-0000-000054480000}"/>
    <cellStyle name="Normal 17 5 2 2" xfId="14301" xr:uid="{00000000-0005-0000-0000-000055480000}"/>
    <cellStyle name="Normal 17 5 2 2 2" xfId="14302" xr:uid="{00000000-0005-0000-0000-000056480000}"/>
    <cellStyle name="Normal 17 5 2 3" xfId="14303" xr:uid="{00000000-0005-0000-0000-000057480000}"/>
    <cellStyle name="Normal 17 5 3" xfId="14304" xr:uid="{00000000-0005-0000-0000-000058480000}"/>
    <cellStyle name="Normal 17 5 3 2" xfId="14305" xr:uid="{00000000-0005-0000-0000-000059480000}"/>
    <cellStyle name="Normal 17 5 4" xfId="14306" xr:uid="{00000000-0005-0000-0000-00005A480000}"/>
    <cellStyle name="Normal 17 6" xfId="14307" xr:uid="{00000000-0005-0000-0000-00005B480000}"/>
    <cellStyle name="Normal 17 6 2" xfId="14308" xr:uid="{00000000-0005-0000-0000-00005C480000}"/>
    <cellStyle name="Normal 17 6 2 2" xfId="14309" xr:uid="{00000000-0005-0000-0000-00005D480000}"/>
    <cellStyle name="Normal 17 6 3" xfId="14310" xr:uid="{00000000-0005-0000-0000-00005E480000}"/>
    <cellStyle name="Normal 17 7" xfId="14311" xr:uid="{00000000-0005-0000-0000-00005F480000}"/>
    <cellStyle name="Normal 17 7 2" xfId="14312" xr:uid="{00000000-0005-0000-0000-000060480000}"/>
    <cellStyle name="Normal 17 8" xfId="14313" xr:uid="{00000000-0005-0000-0000-000061480000}"/>
    <cellStyle name="Normal 18" xfId="14314" xr:uid="{00000000-0005-0000-0000-000062480000}"/>
    <cellStyle name="Normal 18 2" xfId="14315" xr:uid="{00000000-0005-0000-0000-000063480000}"/>
    <cellStyle name="Normal 18 2 2" xfId="18794" xr:uid="{00000000-0005-0000-0000-000064480000}"/>
    <cellStyle name="Normal 18 3" xfId="18677" xr:uid="{00000000-0005-0000-0000-000065480000}"/>
    <cellStyle name="Normal 19" xfId="14316" xr:uid="{00000000-0005-0000-0000-000066480000}"/>
    <cellStyle name="Normal 19 2" xfId="14317" xr:uid="{00000000-0005-0000-0000-000067480000}"/>
    <cellStyle name="Normal 19 2 2" xfId="14318" xr:uid="{00000000-0005-0000-0000-000068480000}"/>
    <cellStyle name="Normal 19 2 2 2" xfId="14319" xr:uid="{00000000-0005-0000-0000-000069480000}"/>
    <cellStyle name="Normal 19 2 2 2 2" xfId="14320" xr:uid="{00000000-0005-0000-0000-00006A480000}"/>
    <cellStyle name="Normal 19 2 2 2 2 2" xfId="14321" xr:uid="{00000000-0005-0000-0000-00006B480000}"/>
    <cellStyle name="Normal 19 2 2 2 2 2 2" xfId="14322" xr:uid="{00000000-0005-0000-0000-00006C480000}"/>
    <cellStyle name="Normal 19 2 2 2 2 3" xfId="14323" xr:uid="{00000000-0005-0000-0000-00006D480000}"/>
    <cellStyle name="Normal 19 2 2 2 3" xfId="14324" xr:uid="{00000000-0005-0000-0000-00006E480000}"/>
    <cellStyle name="Normal 19 2 2 2 3 2" xfId="14325" xr:uid="{00000000-0005-0000-0000-00006F480000}"/>
    <cellStyle name="Normal 19 2 2 2 4" xfId="14326" xr:uid="{00000000-0005-0000-0000-000070480000}"/>
    <cellStyle name="Normal 19 2 2 3" xfId="14327" xr:uid="{00000000-0005-0000-0000-000071480000}"/>
    <cellStyle name="Normal 19 2 2 3 2" xfId="14328" xr:uid="{00000000-0005-0000-0000-000072480000}"/>
    <cellStyle name="Normal 19 2 2 3 2 2" xfId="14329" xr:uid="{00000000-0005-0000-0000-000073480000}"/>
    <cellStyle name="Normal 19 2 2 3 3" xfId="14330" xr:uid="{00000000-0005-0000-0000-000074480000}"/>
    <cellStyle name="Normal 19 2 2 4" xfId="14331" xr:uid="{00000000-0005-0000-0000-000075480000}"/>
    <cellStyle name="Normal 19 2 2 4 2" xfId="14332" xr:uid="{00000000-0005-0000-0000-000076480000}"/>
    <cellStyle name="Normal 19 2 2 5" xfId="14333" xr:uid="{00000000-0005-0000-0000-000077480000}"/>
    <cellStyle name="Normal 19 2 3" xfId="14334" xr:uid="{00000000-0005-0000-0000-000078480000}"/>
    <cellStyle name="Normal 19 2 3 2" xfId="14335" xr:uid="{00000000-0005-0000-0000-000079480000}"/>
    <cellStyle name="Normal 19 2 3 2 2" xfId="14336" xr:uid="{00000000-0005-0000-0000-00007A480000}"/>
    <cellStyle name="Normal 19 2 3 2 2 2" xfId="14337" xr:uid="{00000000-0005-0000-0000-00007B480000}"/>
    <cellStyle name="Normal 19 2 3 2 3" xfId="14338" xr:uid="{00000000-0005-0000-0000-00007C480000}"/>
    <cellStyle name="Normal 19 2 3 3" xfId="14339" xr:uid="{00000000-0005-0000-0000-00007D480000}"/>
    <cellStyle name="Normal 19 2 3 3 2" xfId="14340" xr:uid="{00000000-0005-0000-0000-00007E480000}"/>
    <cellStyle name="Normal 19 2 3 4" xfId="14341" xr:uid="{00000000-0005-0000-0000-00007F480000}"/>
    <cellStyle name="Normal 19 2 4" xfId="14342" xr:uid="{00000000-0005-0000-0000-000080480000}"/>
    <cellStyle name="Normal 19 2 4 2" xfId="14343" xr:uid="{00000000-0005-0000-0000-000081480000}"/>
    <cellStyle name="Normal 19 2 4 2 2" xfId="14344" xr:uid="{00000000-0005-0000-0000-000082480000}"/>
    <cellStyle name="Normal 19 2 4 3" xfId="14345" xr:uid="{00000000-0005-0000-0000-000083480000}"/>
    <cellStyle name="Normal 19 2 5" xfId="14346" xr:uid="{00000000-0005-0000-0000-000084480000}"/>
    <cellStyle name="Normal 19 2 5 2" xfId="14347" xr:uid="{00000000-0005-0000-0000-000085480000}"/>
    <cellStyle name="Normal 19 2 6" xfId="14348" xr:uid="{00000000-0005-0000-0000-000086480000}"/>
    <cellStyle name="Normal 19 3" xfId="14349" xr:uid="{00000000-0005-0000-0000-000087480000}"/>
    <cellStyle name="Normal 19 3 2" xfId="14350" xr:uid="{00000000-0005-0000-0000-000088480000}"/>
    <cellStyle name="Normal 19 3 2 2" xfId="14351" xr:uid="{00000000-0005-0000-0000-000089480000}"/>
    <cellStyle name="Normal 19 3 2 2 2" xfId="14352" xr:uid="{00000000-0005-0000-0000-00008A480000}"/>
    <cellStyle name="Normal 19 3 2 2 2 2" xfId="14353" xr:uid="{00000000-0005-0000-0000-00008B480000}"/>
    <cellStyle name="Normal 19 3 2 2 3" xfId="14354" xr:uid="{00000000-0005-0000-0000-00008C480000}"/>
    <cellStyle name="Normal 19 3 2 3" xfId="14355" xr:uid="{00000000-0005-0000-0000-00008D480000}"/>
    <cellStyle name="Normal 19 3 2 3 2" xfId="14356" xr:uid="{00000000-0005-0000-0000-00008E480000}"/>
    <cellStyle name="Normal 19 3 2 4" xfId="14357" xr:uid="{00000000-0005-0000-0000-00008F480000}"/>
    <cellStyle name="Normal 19 3 3" xfId="14358" xr:uid="{00000000-0005-0000-0000-000090480000}"/>
    <cellStyle name="Normal 19 3 3 2" xfId="14359" xr:uid="{00000000-0005-0000-0000-000091480000}"/>
    <cellStyle name="Normal 19 3 3 2 2" xfId="14360" xr:uid="{00000000-0005-0000-0000-000092480000}"/>
    <cellStyle name="Normal 19 3 3 3" xfId="14361" xr:uid="{00000000-0005-0000-0000-000093480000}"/>
    <cellStyle name="Normal 19 3 4" xfId="14362" xr:uid="{00000000-0005-0000-0000-000094480000}"/>
    <cellStyle name="Normal 19 3 4 2" xfId="14363" xr:uid="{00000000-0005-0000-0000-000095480000}"/>
    <cellStyle name="Normal 19 3 5" xfId="14364" xr:uid="{00000000-0005-0000-0000-000096480000}"/>
    <cellStyle name="Normal 19 4" xfId="14365" xr:uid="{00000000-0005-0000-0000-000097480000}"/>
    <cellStyle name="Normal 19 4 2" xfId="14366" xr:uid="{00000000-0005-0000-0000-000098480000}"/>
    <cellStyle name="Normal 19 4 2 2" xfId="14367" xr:uid="{00000000-0005-0000-0000-000099480000}"/>
    <cellStyle name="Normal 19 4 2 2 2" xfId="14368" xr:uid="{00000000-0005-0000-0000-00009A480000}"/>
    <cellStyle name="Normal 19 4 2 3" xfId="14369" xr:uid="{00000000-0005-0000-0000-00009B480000}"/>
    <cellStyle name="Normal 19 4 3" xfId="14370" xr:uid="{00000000-0005-0000-0000-00009C480000}"/>
    <cellStyle name="Normal 19 4 3 2" xfId="14371" xr:uid="{00000000-0005-0000-0000-00009D480000}"/>
    <cellStyle name="Normal 19 4 4" xfId="14372" xr:uid="{00000000-0005-0000-0000-00009E480000}"/>
    <cellStyle name="Normal 19 5" xfId="14373" xr:uid="{00000000-0005-0000-0000-00009F480000}"/>
    <cellStyle name="Normal 19 5 2" xfId="14374" xr:uid="{00000000-0005-0000-0000-0000A0480000}"/>
    <cellStyle name="Normal 19 5 2 2" xfId="14375" xr:uid="{00000000-0005-0000-0000-0000A1480000}"/>
    <cellStyle name="Normal 19 5 3" xfId="14376" xr:uid="{00000000-0005-0000-0000-0000A2480000}"/>
    <cellStyle name="Normal 19 6" xfId="14377" xr:uid="{00000000-0005-0000-0000-0000A3480000}"/>
    <cellStyle name="Normal 19 6 2" xfId="14378" xr:uid="{00000000-0005-0000-0000-0000A4480000}"/>
    <cellStyle name="Normal 19 7" xfId="14379" xr:uid="{00000000-0005-0000-0000-0000A5480000}"/>
    <cellStyle name="Normal 2" xfId="3" xr:uid="{00000000-0005-0000-0000-0000A6480000}"/>
    <cellStyle name="normal 2 2" xfId="14380" xr:uid="{00000000-0005-0000-0000-0000A7480000}"/>
    <cellStyle name="normal 2 3" xfId="18631" xr:uid="{00000000-0005-0000-0000-0000A8480000}"/>
    <cellStyle name="normal 2 4" xfId="18632" xr:uid="{00000000-0005-0000-0000-0000A9480000}"/>
    <cellStyle name="normal 2 5" xfId="18777" xr:uid="{00000000-0005-0000-0000-0000AA480000}"/>
    <cellStyle name="Normal 2 6" xfId="18593" xr:uid="{00000000-0005-0000-0000-0000AB480000}"/>
    <cellStyle name="Normal 20" xfId="14381" xr:uid="{00000000-0005-0000-0000-0000AC480000}"/>
    <cellStyle name="Normal 20 2" xfId="14382" xr:uid="{00000000-0005-0000-0000-0000AD480000}"/>
    <cellStyle name="Normal 20 3" xfId="18883" xr:uid="{00000000-0005-0000-0000-0000AE480000}"/>
    <cellStyle name="Normal 21" xfId="14383" xr:uid="{00000000-0005-0000-0000-0000AF480000}"/>
    <cellStyle name="Normal 21 2" xfId="14384" xr:uid="{00000000-0005-0000-0000-0000B0480000}"/>
    <cellStyle name="Normal 21 2 2" xfId="14385" xr:uid="{00000000-0005-0000-0000-0000B1480000}"/>
    <cellStyle name="Normal 21 2 2 2" xfId="14386" xr:uid="{00000000-0005-0000-0000-0000B2480000}"/>
    <cellStyle name="Normal 21 2 2 2 2" xfId="14387" xr:uid="{00000000-0005-0000-0000-0000B3480000}"/>
    <cellStyle name="Normal 21 2 2 2 2 2" xfId="14388" xr:uid="{00000000-0005-0000-0000-0000B4480000}"/>
    <cellStyle name="Normal 21 2 2 2 3" xfId="14389" xr:uid="{00000000-0005-0000-0000-0000B5480000}"/>
    <cellStyle name="Normal 21 2 2 3" xfId="14390" xr:uid="{00000000-0005-0000-0000-0000B6480000}"/>
    <cellStyle name="Normal 21 2 2 3 2" xfId="14391" xr:uid="{00000000-0005-0000-0000-0000B7480000}"/>
    <cellStyle name="Normal 21 2 2 4" xfId="14392" xr:uid="{00000000-0005-0000-0000-0000B8480000}"/>
    <cellStyle name="Normal 21 2 3" xfId="14393" xr:uid="{00000000-0005-0000-0000-0000B9480000}"/>
    <cellStyle name="Normal 21 2 3 2" xfId="14394" xr:uid="{00000000-0005-0000-0000-0000BA480000}"/>
    <cellStyle name="Normal 21 2 3 2 2" xfId="14395" xr:uid="{00000000-0005-0000-0000-0000BB480000}"/>
    <cellStyle name="Normal 21 2 3 3" xfId="14396" xr:uid="{00000000-0005-0000-0000-0000BC480000}"/>
    <cellStyle name="Normal 21 2 4" xfId="14397" xr:uid="{00000000-0005-0000-0000-0000BD480000}"/>
    <cellStyle name="Normal 21 2 4 2" xfId="14398" xr:uid="{00000000-0005-0000-0000-0000BE480000}"/>
    <cellStyle name="Normal 21 2 5" xfId="14399" xr:uid="{00000000-0005-0000-0000-0000BF480000}"/>
    <cellStyle name="Normal 21 3" xfId="14400" xr:uid="{00000000-0005-0000-0000-0000C0480000}"/>
    <cellStyle name="Normal 21 3 2" xfId="14401" xr:uid="{00000000-0005-0000-0000-0000C1480000}"/>
    <cellStyle name="Normal 21 3 2 2" xfId="14402" xr:uid="{00000000-0005-0000-0000-0000C2480000}"/>
    <cellStyle name="Normal 21 3 2 2 2" xfId="14403" xr:uid="{00000000-0005-0000-0000-0000C3480000}"/>
    <cellStyle name="Normal 21 3 2 3" xfId="14404" xr:uid="{00000000-0005-0000-0000-0000C4480000}"/>
    <cellStyle name="Normal 21 3 3" xfId="14405" xr:uid="{00000000-0005-0000-0000-0000C5480000}"/>
    <cellStyle name="Normal 21 3 3 2" xfId="14406" xr:uid="{00000000-0005-0000-0000-0000C6480000}"/>
    <cellStyle name="Normal 21 3 4" xfId="14407" xr:uid="{00000000-0005-0000-0000-0000C7480000}"/>
    <cellStyle name="Normal 21 4" xfId="14408" xr:uid="{00000000-0005-0000-0000-0000C8480000}"/>
    <cellStyle name="Normal 21 4 2" xfId="14409" xr:uid="{00000000-0005-0000-0000-0000C9480000}"/>
    <cellStyle name="Normal 21 4 2 2" xfId="14410" xr:uid="{00000000-0005-0000-0000-0000CA480000}"/>
    <cellStyle name="Normal 21 4 3" xfId="14411" xr:uid="{00000000-0005-0000-0000-0000CB480000}"/>
    <cellStyle name="Normal 21 5" xfId="14412" xr:uid="{00000000-0005-0000-0000-0000CC480000}"/>
    <cellStyle name="Normal 21 5 2" xfId="14413" xr:uid="{00000000-0005-0000-0000-0000CD480000}"/>
    <cellStyle name="Normal 21 6" xfId="14414" xr:uid="{00000000-0005-0000-0000-0000CE480000}"/>
    <cellStyle name="Normal 22" xfId="14415" xr:uid="{00000000-0005-0000-0000-0000CF480000}"/>
    <cellStyle name="Normal 22 2" xfId="14416" xr:uid="{00000000-0005-0000-0000-0000D0480000}"/>
    <cellStyle name="Normal 22 3" xfId="19048" xr:uid="{00000000-0005-0000-0000-0000D1480000}"/>
    <cellStyle name="Normal 23" xfId="14417" xr:uid="{00000000-0005-0000-0000-0000D2480000}"/>
    <cellStyle name="Normal 23 2" xfId="14418" xr:uid="{00000000-0005-0000-0000-0000D3480000}"/>
    <cellStyle name="Normal 23 2 2" xfId="14419" xr:uid="{00000000-0005-0000-0000-0000D4480000}"/>
    <cellStyle name="Normal 23 2 2 2" xfId="14420" xr:uid="{00000000-0005-0000-0000-0000D5480000}"/>
    <cellStyle name="Normal 23 2 2 2 2" xfId="14421" xr:uid="{00000000-0005-0000-0000-0000D6480000}"/>
    <cellStyle name="Normal 23 2 2 3" xfId="14422" xr:uid="{00000000-0005-0000-0000-0000D7480000}"/>
    <cellStyle name="Normal 23 2 3" xfId="14423" xr:uid="{00000000-0005-0000-0000-0000D8480000}"/>
    <cellStyle name="Normal 23 2 3 2" xfId="14424" xr:uid="{00000000-0005-0000-0000-0000D9480000}"/>
    <cellStyle name="Normal 23 2 4" xfId="14425" xr:uid="{00000000-0005-0000-0000-0000DA480000}"/>
    <cellStyle name="Normal 23 3" xfId="14426" xr:uid="{00000000-0005-0000-0000-0000DB480000}"/>
    <cellStyle name="Normal 23 3 2" xfId="14427" xr:uid="{00000000-0005-0000-0000-0000DC480000}"/>
    <cellStyle name="Normal 23 3 2 2" xfId="14428" xr:uid="{00000000-0005-0000-0000-0000DD480000}"/>
    <cellStyle name="Normal 23 3 3" xfId="14429" xr:uid="{00000000-0005-0000-0000-0000DE480000}"/>
    <cellStyle name="Normal 23 4" xfId="14430" xr:uid="{00000000-0005-0000-0000-0000DF480000}"/>
    <cellStyle name="Normal 23 4 2" xfId="14431" xr:uid="{00000000-0005-0000-0000-0000E0480000}"/>
    <cellStyle name="Normal 23 5" xfId="14432" xr:uid="{00000000-0005-0000-0000-0000E1480000}"/>
    <cellStyle name="Normal 24" xfId="14433" xr:uid="{00000000-0005-0000-0000-0000E2480000}"/>
    <cellStyle name="Normal 24 2" xfId="14434" xr:uid="{00000000-0005-0000-0000-0000E3480000}"/>
    <cellStyle name="Normal 24 3" xfId="19374" xr:uid="{00000000-0005-0000-0000-0000E4480000}"/>
    <cellStyle name="Normal 25" xfId="14435" xr:uid="{00000000-0005-0000-0000-0000E5480000}"/>
    <cellStyle name="Normal 25 2" xfId="14436" xr:uid="{00000000-0005-0000-0000-0000E6480000}"/>
    <cellStyle name="Normal 25 2 2" xfId="14437" xr:uid="{00000000-0005-0000-0000-0000E7480000}"/>
    <cellStyle name="Normal 25 2 2 2" xfId="14438" xr:uid="{00000000-0005-0000-0000-0000E8480000}"/>
    <cellStyle name="Normal 25 2 3" xfId="14439" xr:uid="{00000000-0005-0000-0000-0000E9480000}"/>
    <cellStyle name="Normal 25 3" xfId="14440" xr:uid="{00000000-0005-0000-0000-0000EA480000}"/>
    <cellStyle name="Normal 25 3 2" xfId="14441" xr:uid="{00000000-0005-0000-0000-0000EB480000}"/>
    <cellStyle name="Normal 25 4" xfId="14442" xr:uid="{00000000-0005-0000-0000-0000EC480000}"/>
    <cellStyle name="Normal 26" xfId="14443" xr:uid="{00000000-0005-0000-0000-0000ED480000}"/>
    <cellStyle name="Normal 26 2" xfId="14444" xr:uid="{00000000-0005-0000-0000-0000EE480000}"/>
    <cellStyle name="Normal 26 3" xfId="20022" xr:uid="{00000000-0005-0000-0000-0000EF480000}"/>
    <cellStyle name="Normal 27" xfId="14445" xr:uid="{00000000-0005-0000-0000-0000F0480000}"/>
    <cellStyle name="Normal 27 2" xfId="14446" xr:uid="{00000000-0005-0000-0000-0000F1480000}"/>
    <cellStyle name="Normal 27 2 2" xfId="14447" xr:uid="{00000000-0005-0000-0000-0000F2480000}"/>
    <cellStyle name="Normal 27 3" xfId="14448" xr:uid="{00000000-0005-0000-0000-0000F3480000}"/>
    <cellStyle name="Normal 28" xfId="14449" xr:uid="{00000000-0005-0000-0000-0000F4480000}"/>
    <cellStyle name="Normal 28 2" xfId="14450" xr:uid="{00000000-0005-0000-0000-0000F5480000}"/>
    <cellStyle name="Normal 28 3" xfId="21315" xr:uid="{00000000-0005-0000-0000-0000F6480000}"/>
    <cellStyle name="Normal 29" xfId="14451" xr:uid="{00000000-0005-0000-0000-0000F7480000}"/>
    <cellStyle name="Normal 3" xfId="2" xr:uid="{00000000-0005-0000-0000-0000F8480000}"/>
    <cellStyle name="Normal 3 2" xfId="14452" xr:uid="{00000000-0005-0000-0000-0000F9480000}"/>
    <cellStyle name="Normal 3 2 2" xfId="18685" xr:uid="{00000000-0005-0000-0000-0000FA480000}"/>
    <cellStyle name="Normal 3 3" xfId="18633" xr:uid="{00000000-0005-0000-0000-0000FB480000}"/>
    <cellStyle name="Normal 30" xfId="14453" xr:uid="{00000000-0005-0000-0000-0000FC480000}"/>
    <cellStyle name="Normal 30 2" xfId="18776" xr:uid="{00000000-0005-0000-0000-0000FD480000}"/>
    <cellStyle name="Normal 31" xfId="14454" xr:uid="{00000000-0005-0000-0000-0000FE480000}"/>
    <cellStyle name="Normal 32" xfId="8" xr:uid="{00000000-0005-0000-0000-0000FF480000}"/>
    <cellStyle name="Normal 4" xfId="1" xr:uid="{00000000-0005-0000-0000-000000490000}"/>
    <cellStyle name="Normal 4 2" xfId="14455" xr:uid="{00000000-0005-0000-0000-000001490000}"/>
    <cellStyle name="Normal 4 2 2" xfId="18690" xr:uid="{00000000-0005-0000-0000-000002490000}"/>
    <cellStyle name="Normal 4 3" xfId="18672" xr:uid="{00000000-0005-0000-0000-000003490000}"/>
    <cellStyle name="Normal 5" xfId="14456" xr:uid="{00000000-0005-0000-0000-000004490000}"/>
    <cellStyle name="Normal 5 2" xfId="18691" xr:uid="{00000000-0005-0000-0000-000005490000}"/>
    <cellStyle name="Normal 5 3" xfId="18673" xr:uid="{00000000-0005-0000-0000-000006490000}"/>
    <cellStyle name="Normal 6" xfId="14457" xr:uid="{00000000-0005-0000-0000-000007490000}"/>
    <cellStyle name="Normal 6 10" xfId="14458" xr:uid="{00000000-0005-0000-0000-000008490000}"/>
    <cellStyle name="Normal 6 10 2" xfId="14459" xr:uid="{00000000-0005-0000-0000-000009490000}"/>
    <cellStyle name="Normal 6 10 2 2" xfId="14460" xr:uid="{00000000-0005-0000-0000-00000A490000}"/>
    <cellStyle name="Normal 6 10 3" xfId="14461" xr:uid="{00000000-0005-0000-0000-00000B490000}"/>
    <cellStyle name="Normal 6 11" xfId="14462" xr:uid="{00000000-0005-0000-0000-00000C490000}"/>
    <cellStyle name="Normal 6 11 2" xfId="14463" xr:uid="{00000000-0005-0000-0000-00000D490000}"/>
    <cellStyle name="Normal 6 12" xfId="14464" xr:uid="{00000000-0005-0000-0000-00000E490000}"/>
    <cellStyle name="Normal 6 13" xfId="14465" xr:uid="{00000000-0005-0000-0000-00000F490000}"/>
    <cellStyle name="Normal 6 14" xfId="14466" xr:uid="{00000000-0005-0000-0000-000010490000}"/>
    <cellStyle name="Normal 6 15" xfId="14467" xr:uid="{00000000-0005-0000-0000-000011490000}"/>
    <cellStyle name="Normal 6 16" xfId="14468" xr:uid="{00000000-0005-0000-0000-000012490000}"/>
    <cellStyle name="Normal 6 17" xfId="14469" xr:uid="{00000000-0005-0000-0000-000013490000}"/>
    <cellStyle name="Normal 6 18" xfId="14470" xr:uid="{00000000-0005-0000-0000-000014490000}"/>
    <cellStyle name="Normal 6 19" xfId="18674" xr:uid="{00000000-0005-0000-0000-000015490000}"/>
    <cellStyle name="Normal 6 2" xfId="14471" xr:uid="{00000000-0005-0000-0000-000016490000}"/>
    <cellStyle name="Normal 6 2 10" xfId="14472" xr:uid="{00000000-0005-0000-0000-000017490000}"/>
    <cellStyle name="Normal 6 2 10 2" xfId="14473" xr:uid="{00000000-0005-0000-0000-000018490000}"/>
    <cellStyle name="Normal 6 2 11" xfId="14474" xr:uid="{00000000-0005-0000-0000-000019490000}"/>
    <cellStyle name="Normal 6 2 2" xfId="14475" xr:uid="{00000000-0005-0000-0000-00001A490000}"/>
    <cellStyle name="Normal 6 2 2 10" xfId="14476" xr:uid="{00000000-0005-0000-0000-00001B490000}"/>
    <cellStyle name="Normal 6 2 2 2" xfId="14477" xr:uid="{00000000-0005-0000-0000-00001C490000}"/>
    <cellStyle name="Normal 6 2 2 2 2" xfId="14478" xr:uid="{00000000-0005-0000-0000-00001D490000}"/>
    <cellStyle name="Normal 6 2 2 2 2 2" xfId="14479" xr:uid="{00000000-0005-0000-0000-00001E490000}"/>
    <cellStyle name="Normal 6 2 2 2 2 2 2" xfId="14480" xr:uid="{00000000-0005-0000-0000-00001F490000}"/>
    <cellStyle name="Normal 6 2 2 2 2 2 2 2" xfId="14481" xr:uid="{00000000-0005-0000-0000-000020490000}"/>
    <cellStyle name="Normal 6 2 2 2 2 2 2 2 2" xfId="14482" xr:uid="{00000000-0005-0000-0000-000021490000}"/>
    <cellStyle name="Normal 6 2 2 2 2 2 2 2 2 2" xfId="14483" xr:uid="{00000000-0005-0000-0000-000022490000}"/>
    <cellStyle name="Normal 6 2 2 2 2 2 2 2 2 2 2" xfId="14484" xr:uid="{00000000-0005-0000-0000-000023490000}"/>
    <cellStyle name="Normal 6 2 2 2 2 2 2 2 2 2 2 2" xfId="14485" xr:uid="{00000000-0005-0000-0000-000024490000}"/>
    <cellStyle name="Normal 6 2 2 2 2 2 2 2 2 2 3" xfId="14486" xr:uid="{00000000-0005-0000-0000-000025490000}"/>
    <cellStyle name="Normal 6 2 2 2 2 2 2 2 2 3" xfId="14487" xr:uid="{00000000-0005-0000-0000-000026490000}"/>
    <cellStyle name="Normal 6 2 2 2 2 2 2 2 2 3 2" xfId="14488" xr:uid="{00000000-0005-0000-0000-000027490000}"/>
    <cellStyle name="Normal 6 2 2 2 2 2 2 2 2 4" xfId="14489" xr:uid="{00000000-0005-0000-0000-000028490000}"/>
    <cellStyle name="Normal 6 2 2 2 2 2 2 2 3" xfId="14490" xr:uid="{00000000-0005-0000-0000-000029490000}"/>
    <cellStyle name="Normal 6 2 2 2 2 2 2 2 3 2" xfId="14491" xr:uid="{00000000-0005-0000-0000-00002A490000}"/>
    <cellStyle name="Normal 6 2 2 2 2 2 2 2 3 2 2" xfId="14492" xr:uid="{00000000-0005-0000-0000-00002B490000}"/>
    <cellStyle name="Normal 6 2 2 2 2 2 2 2 3 3" xfId="14493" xr:uid="{00000000-0005-0000-0000-00002C490000}"/>
    <cellStyle name="Normal 6 2 2 2 2 2 2 2 4" xfId="14494" xr:uid="{00000000-0005-0000-0000-00002D490000}"/>
    <cellStyle name="Normal 6 2 2 2 2 2 2 2 4 2" xfId="14495" xr:uid="{00000000-0005-0000-0000-00002E490000}"/>
    <cellStyle name="Normal 6 2 2 2 2 2 2 2 5" xfId="14496" xr:uid="{00000000-0005-0000-0000-00002F490000}"/>
    <cellStyle name="Normal 6 2 2 2 2 2 2 3" xfId="14497" xr:uid="{00000000-0005-0000-0000-000030490000}"/>
    <cellStyle name="Normal 6 2 2 2 2 2 2 3 2" xfId="14498" xr:uid="{00000000-0005-0000-0000-000031490000}"/>
    <cellStyle name="Normal 6 2 2 2 2 2 2 3 2 2" xfId="14499" xr:uid="{00000000-0005-0000-0000-000032490000}"/>
    <cellStyle name="Normal 6 2 2 2 2 2 2 3 2 2 2" xfId="14500" xr:uid="{00000000-0005-0000-0000-000033490000}"/>
    <cellStyle name="Normal 6 2 2 2 2 2 2 3 2 3" xfId="14501" xr:uid="{00000000-0005-0000-0000-000034490000}"/>
    <cellStyle name="Normal 6 2 2 2 2 2 2 3 3" xfId="14502" xr:uid="{00000000-0005-0000-0000-000035490000}"/>
    <cellStyle name="Normal 6 2 2 2 2 2 2 3 3 2" xfId="14503" xr:uid="{00000000-0005-0000-0000-000036490000}"/>
    <cellStyle name="Normal 6 2 2 2 2 2 2 3 4" xfId="14504" xr:uid="{00000000-0005-0000-0000-000037490000}"/>
    <cellStyle name="Normal 6 2 2 2 2 2 2 4" xfId="14505" xr:uid="{00000000-0005-0000-0000-000038490000}"/>
    <cellStyle name="Normal 6 2 2 2 2 2 2 4 2" xfId="14506" xr:uid="{00000000-0005-0000-0000-000039490000}"/>
    <cellStyle name="Normal 6 2 2 2 2 2 2 4 2 2" xfId="14507" xr:uid="{00000000-0005-0000-0000-00003A490000}"/>
    <cellStyle name="Normal 6 2 2 2 2 2 2 4 3" xfId="14508" xr:uid="{00000000-0005-0000-0000-00003B490000}"/>
    <cellStyle name="Normal 6 2 2 2 2 2 2 5" xfId="14509" xr:uid="{00000000-0005-0000-0000-00003C490000}"/>
    <cellStyle name="Normal 6 2 2 2 2 2 2 5 2" xfId="14510" xr:uid="{00000000-0005-0000-0000-00003D490000}"/>
    <cellStyle name="Normal 6 2 2 2 2 2 2 6" xfId="14511" xr:uid="{00000000-0005-0000-0000-00003E490000}"/>
    <cellStyle name="Normal 6 2 2 2 2 2 3" xfId="14512" xr:uid="{00000000-0005-0000-0000-00003F490000}"/>
    <cellStyle name="Normal 6 2 2 2 2 2 3 2" xfId="14513" xr:uid="{00000000-0005-0000-0000-000040490000}"/>
    <cellStyle name="Normal 6 2 2 2 2 2 3 2 2" xfId="14514" xr:uid="{00000000-0005-0000-0000-000041490000}"/>
    <cellStyle name="Normal 6 2 2 2 2 2 3 2 2 2" xfId="14515" xr:uid="{00000000-0005-0000-0000-000042490000}"/>
    <cellStyle name="Normal 6 2 2 2 2 2 3 2 2 2 2" xfId="14516" xr:uid="{00000000-0005-0000-0000-000043490000}"/>
    <cellStyle name="Normal 6 2 2 2 2 2 3 2 2 3" xfId="14517" xr:uid="{00000000-0005-0000-0000-000044490000}"/>
    <cellStyle name="Normal 6 2 2 2 2 2 3 2 3" xfId="14518" xr:uid="{00000000-0005-0000-0000-000045490000}"/>
    <cellStyle name="Normal 6 2 2 2 2 2 3 2 3 2" xfId="14519" xr:uid="{00000000-0005-0000-0000-000046490000}"/>
    <cellStyle name="Normal 6 2 2 2 2 2 3 2 4" xfId="14520" xr:uid="{00000000-0005-0000-0000-000047490000}"/>
    <cellStyle name="Normal 6 2 2 2 2 2 3 3" xfId="14521" xr:uid="{00000000-0005-0000-0000-000048490000}"/>
    <cellStyle name="Normal 6 2 2 2 2 2 3 3 2" xfId="14522" xr:uid="{00000000-0005-0000-0000-000049490000}"/>
    <cellStyle name="Normal 6 2 2 2 2 2 3 3 2 2" xfId="14523" xr:uid="{00000000-0005-0000-0000-00004A490000}"/>
    <cellStyle name="Normal 6 2 2 2 2 2 3 3 3" xfId="14524" xr:uid="{00000000-0005-0000-0000-00004B490000}"/>
    <cellStyle name="Normal 6 2 2 2 2 2 3 4" xfId="14525" xr:uid="{00000000-0005-0000-0000-00004C490000}"/>
    <cellStyle name="Normal 6 2 2 2 2 2 3 4 2" xfId="14526" xr:uid="{00000000-0005-0000-0000-00004D490000}"/>
    <cellStyle name="Normal 6 2 2 2 2 2 3 5" xfId="14527" xr:uid="{00000000-0005-0000-0000-00004E490000}"/>
    <cellStyle name="Normal 6 2 2 2 2 2 4" xfId="14528" xr:uid="{00000000-0005-0000-0000-00004F490000}"/>
    <cellStyle name="Normal 6 2 2 2 2 2 4 2" xfId="14529" xr:uid="{00000000-0005-0000-0000-000050490000}"/>
    <cellStyle name="Normal 6 2 2 2 2 2 4 2 2" xfId="14530" xr:uid="{00000000-0005-0000-0000-000051490000}"/>
    <cellStyle name="Normal 6 2 2 2 2 2 4 2 2 2" xfId="14531" xr:uid="{00000000-0005-0000-0000-000052490000}"/>
    <cellStyle name="Normal 6 2 2 2 2 2 4 2 3" xfId="14532" xr:uid="{00000000-0005-0000-0000-000053490000}"/>
    <cellStyle name="Normal 6 2 2 2 2 2 4 3" xfId="14533" xr:uid="{00000000-0005-0000-0000-000054490000}"/>
    <cellStyle name="Normal 6 2 2 2 2 2 4 3 2" xfId="14534" xr:uid="{00000000-0005-0000-0000-000055490000}"/>
    <cellStyle name="Normal 6 2 2 2 2 2 4 4" xfId="14535" xr:uid="{00000000-0005-0000-0000-000056490000}"/>
    <cellStyle name="Normal 6 2 2 2 2 2 5" xfId="14536" xr:uid="{00000000-0005-0000-0000-000057490000}"/>
    <cellStyle name="Normal 6 2 2 2 2 2 5 2" xfId="14537" xr:uid="{00000000-0005-0000-0000-000058490000}"/>
    <cellStyle name="Normal 6 2 2 2 2 2 5 2 2" xfId="14538" xr:uid="{00000000-0005-0000-0000-000059490000}"/>
    <cellStyle name="Normal 6 2 2 2 2 2 5 3" xfId="14539" xr:uid="{00000000-0005-0000-0000-00005A490000}"/>
    <cellStyle name="Normal 6 2 2 2 2 2 6" xfId="14540" xr:uid="{00000000-0005-0000-0000-00005B490000}"/>
    <cellStyle name="Normal 6 2 2 2 2 2 6 2" xfId="14541" xr:uid="{00000000-0005-0000-0000-00005C490000}"/>
    <cellStyle name="Normal 6 2 2 2 2 2 7" xfId="14542" xr:uid="{00000000-0005-0000-0000-00005D490000}"/>
    <cellStyle name="Normal 6 2 2 2 2 3" xfId="14543" xr:uid="{00000000-0005-0000-0000-00005E490000}"/>
    <cellStyle name="Normal 6 2 2 2 2 3 2" xfId="14544" xr:uid="{00000000-0005-0000-0000-00005F490000}"/>
    <cellStyle name="Normal 6 2 2 2 2 3 2 2" xfId="14545" xr:uid="{00000000-0005-0000-0000-000060490000}"/>
    <cellStyle name="Normal 6 2 2 2 2 3 2 2 2" xfId="14546" xr:uid="{00000000-0005-0000-0000-000061490000}"/>
    <cellStyle name="Normal 6 2 2 2 2 3 2 2 2 2" xfId="14547" xr:uid="{00000000-0005-0000-0000-000062490000}"/>
    <cellStyle name="Normal 6 2 2 2 2 3 2 2 2 2 2" xfId="14548" xr:uid="{00000000-0005-0000-0000-000063490000}"/>
    <cellStyle name="Normal 6 2 2 2 2 3 2 2 2 3" xfId="14549" xr:uid="{00000000-0005-0000-0000-000064490000}"/>
    <cellStyle name="Normal 6 2 2 2 2 3 2 2 3" xfId="14550" xr:uid="{00000000-0005-0000-0000-000065490000}"/>
    <cellStyle name="Normal 6 2 2 2 2 3 2 2 3 2" xfId="14551" xr:uid="{00000000-0005-0000-0000-000066490000}"/>
    <cellStyle name="Normal 6 2 2 2 2 3 2 2 4" xfId="14552" xr:uid="{00000000-0005-0000-0000-000067490000}"/>
    <cellStyle name="Normal 6 2 2 2 2 3 2 3" xfId="14553" xr:uid="{00000000-0005-0000-0000-000068490000}"/>
    <cellStyle name="Normal 6 2 2 2 2 3 2 3 2" xfId="14554" xr:uid="{00000000-0005-0000-0000-000069490000}"/>
    <cellStyle name="Normal 6 2 2 2 2 3 2 3 2 2" xfId="14555" xr:uid="{00000000-0005-0000-0000-00006A490000}"/>
    <cellStyle name="Normal 6 2 2 2 2 3 2 3 3" xfId="14556" xr:uid="{00000000-0005-0000-0000-00006B490000}"/>
    <cellStyle name="Normal 6 2 2 2 2 3 2 4" xfId="14557" xr:uid="{00000000-0005-0000-0000-00006C490000}"/>
    <cellStyle name="Normal 6 2 2 2 2 3 2 4 2" xfId="14558" xr:uid="{00000000-0005-0000-0000-00006D490000}"/>
    <cellStyle name="Normal 6 2 2 2 2 3 2 5" xfId="14559" xr:uid="{00000000-0005-0000-0000-00006E490000}"/>
    <cellStyle name="Normal 6 2 2 2 2 3 3" xfId="14560" xr:uid="{00000000-0005-0000-0000-00006F490000}"/>
    <cellStyle name="Normal 6 2 2 2 2 3 3 2" xfId="14561" xr:uid="{00000000-0005-0000-0000-000070490000}"/>
    <cellStyle name="Normal 6 2 2 2 2 3 3 2 2" xfId="14562" xr:uid="{00000000-0005-0000-0000-000071490000}"/>
    <cellStyle name="Normal 6 2 2 2 2 3 3 2 2 2" xfId="14563" xr:uid="{00000000-0005-0000-0000-000072490000}"/>
    <cellStyle name="Normal 6 2 2 2 2 3 3 2 3" xfId="14564" xr:uid="{00000000-0005-0000-0000-000073490000}"/>
    <cellStyle name="Normal 6 2 2 2 2 3 3 3" xfId="14565" xr:uid="{00000000-0005-0000-0000-000074490000}"/>
    <cellStyle name="Normal 6 2 2 2 2 3 3 3 2" xfId="14566" xr:uid="{00000000-0005-0000-0000-000075490000}"/>
    <cellStyle name="Normal 6 2 2 2 2 3 3 4" xfId="14567" xr:uid="{00000000-0005-0000-0000-000076490000}"/>
    <cellStyle name="Normal 6 2 2 2 2 3 4" xfId="14568" xr:uid="{00000000-0005-0000-0000-000077490000}"/>
    <cellStyle name="Normal 6 2 2 2 2 3 4 2" xfId="14569" xr:uid="{00000000-0005-0000-0000-000078490000}"/>
    <cellStyle name="Normal 6 2 2 2 2 3 4 2 2" xfId="14570" xr:uid="{00000000-0005-0000-0000-000079490000}"/>
    <cellStyle name="Normal 6 2 2 2 2 3 4 3" xfId="14571" xr:uid="{00000000-0005-0000-0000-00007A490000}"/>
    <cellStyle name="Normal 6 2 2 2 2 3 5" xfId="14572" xr:uid="{00000000-0005-0000-0000-00007B490000}"/>
    <cellStyle name="Normal 6 2 2 2 2 3 5 2" xfId="14573" xr:uid="{00000000-0005-0000-0000-00007C490000}"/>
    <cellStyle name="Normal 6 2 2 2 2 3 6" xfId="14574" xr:uid="{00000000-0005-0000-0000-00007D490000}"/>
    <cellStyle name="Normal 6 2 2 2 2 4" xfId="14575" xr:uid="{00000000-0005-0000-0000-00007E490000}"/>
    <cellStyle name="Normal 6 2 2 2 2 4 2" xfId="14576" xr:uid="{00000000-0005-0000-0000-00007F490000}"/>
    <cellStyle name="Normal 6 2 2 2 2 4 2 2" xfId="14577" xr:uid="{00000000-0005-0000-0000-000080490000}"/>
    <cellStyle name="Normal 6 2 2 2 2 4 2 2 2" xfId="14578" xr:uid="{00000000-0005-0000-0000-000081490000}"/>
    <cellStyle name="Normal 6 2 2 2 2 4 2 2 2 2" xfId="14579" xr:uid="{00000000-0005-0000-0000-000082490000}"/>
    <cellStyle name="Normal 6 2 2 2 2 4 2 2 3" xfId="14580" xr:uid="{00000000-0005-0000-0000-000083490000}"/>
    <cellStyle name="Normal 6 2 2 2 2 4 2 3" xfId="14581" xr:uid="{00000000-0005-0000-0000-000084490000}"/>
    <cellStyle name="Normal 6 2 2 2 2 4 2 3 2" xfId="14582" xr:uid="{00000000-0005-0000-0000-000085490000}"/>
    <cellStyle name="Normal 6 2 2 2 2 4 2 4" xfId="14583" xr:uid="{00000000-0005-0000-0000-000086490000}"/>
    <cellStyle name="Normal 6 2 2 2 2 4 3" xfId="14584" xr:uid="{00000000-0005-0000-0000-000087490000}"/>
    <cellStyle name="Normal 6 2 2 2 2 4 3 2" xfId="14585" xr:uid="{00000000-0005-0000-0000-000088490000}"/>
    <cellStyle name="Normal 6 2 2 2 2 4 3 2 2" xfId="14586" xr:uid="{00000000-0005-0000-0000-000089490000}"/>
    <cellStyle name="Normal 6 2 2 2 2 4 3 3" xfId="14587" xr:uid="{00000000-0005-0000-0000-00008A490000}"/>
    <cellStyle name="Normal 6 2 2 2 2 4 4" xfId="14588" xr:uid="{00000000-0005-0000-0000-00008B490000}"/>
    <cellStyle name="Normal 6 2 2 2 2 4 4 2" xfId="14589" xr:uid="{00000000-0005-0000-0000-00008C490000}"/>
    <cellStyle name="Normal 6 2 2 2 2 4 5" xfId="14590" xr:uid="{00000000-0005-0000-0000-00008D490000}"/>
    <cellStyle name="Normal 6 2 2 2 2 5" xfId="14591" xr:uid="{00000000-0005-0000-0000-00008E490000}"/>
    <cellStyle name="Normal 6 2 2 2 2 5 2" xfId="14592" xr:uid="{00000000-0005-0000-0000-00008F490000}"/>
    <cellStyle name="Normal 6 2 2 2 2 5 2 2" xfId="14593" xr:uid="{00000000-0005-0000-0000-000090490000}"/>
    <cellStyle name="Normal 6 2 2 2 2 5 2 2 2" xfId="14594" xr:uid="{00000000-0005-0000-0000-000091490000}"/>
    <cellStyle name="Normal 6 2 2 2 2 5 2 3" xfId="14595" xr:uid="{00000000-0005-0000-0000-000092490000}"/>
    <cellStyle name="Normal 6 2 2 2 2 5 3" xfId="14596" xr:uid="{00000000-0005-0000-0000-000093490000}"/>
    <cellStyle name="Normal 6 2 2 2 2 5 3 2" xfId="14597" xr:uid="{00000000-0005-0000-0000-000094490000}"/>
    <cellStyle name="Normal 6 2 2 2 2 5 4" xfId="14598" xr:uid="{00000000-0005-0000-0000-000095490000}"/>
    <cellStyle name="Normal 6 2 2 2 2 6" xfId="14599" xr:uid="{00000000-0005-0000-0000-000096490000}"/>
    <cellStyle name="Normal 6 2 2 2 2 6 2" xfId="14600" xr:uid="{00000000-0005-0000-0000-000097490000}"/>
    <cellStyle name="Normal 6 2 2 2 2 6 2 2" xfId="14601" xr:uid="{00000000-0005-0000-0000-000098490000}"/>
    <cellStyle name="Normal 6 2 2 2 2 6 3" xfId="14602" xr:uid="{00000000-0005-0000-0000-000099490000}"/>
    <cellStyle name="Normal 6 2 2 2 2 7" xfId="14603" xr:uid="{00000000-0005-0000-0000-00009A490000}"/>
    <cellStyle name="Normal 6 2 2 2 2 7 2" xfId="14604" xr:uid="{00000000-0005-0000-0000-00009B490000}"/>
    <cellStyle name="Normal 6 2 2 2 2 8" xfId="14605" xr:uid="{00000000-0005-0000-0000-00009C490000}"/>
    <cellStyle name="Normal 6 2 2 2 3" xfId="14606" xr:uid="{00000000-0005-0000-0000-00009D490000}"/>
    <cellStyle name="Normal 6 2 2 2 3 2" xfId="14607" xr:uid="{00000000-0005-0000-0000-00009E490000}"/>
    <cellStyle name="Normal 6 2 2 2 3 2 2" xfId="14608" xr:uid="{00000000-0005-0000-0000-00009F490000}"/>
    <cellStyle name="Normal 6 2 2 2 3 2 2 2" xfId="14609" xr:uid="{00000000-0005-0000-0000-0000A0490000}"/>
    <cellStyle name="Normal 6 2 2 2 3 2 2 2 2" xfId="14610" xr:uid="{00000000-0005-0000-0000-0000A1490000}"/>
    <cellStyle name="Normal 6 2 2 2 3 2 2 2 2 2" xfId="14611" xr:uid="{00000000-0005-0000-0000-0000A2490000}"/>
    <cellStyle name="Normal 6 2 2 2 3 2 2 2 2 2 2" xfId="14612" xr:uid="{00000000-0005-0000-0000-0000A3490000}"/>
    <cellStyle name="Normal 6 2 2 2 3 2 2 2 2 3" xfId="14613" xr:uid="{00000000-0005-0000-0000-0000A4490000}"/>
    <cellStyle name="Normal 6 2 2 2 3 2 2 2 3" xfId="14614" xr:uid="{00000000-0005-0000-0000-0000A5490000}"/>
    <cellStyle name="Normal 6 2 2 2 3 2 2 2 3 2" xfId="14615" xr:uid="{00000000-0005-0000-0000-0000A6490000}"/>
    <cellStyle name="Normal 6 2 2 2 3 2 2 2 4" xfId="14616" xr:uid="{00000000-0005-0000-0000-0000A7490000}"/>
    <cellStyle name="Normal 6 2 2 2 3 2 2 3" xfId="14617" xr:uid="{00000000-0005-0000-0000-0000A8490000}"/>
    <cellStyle name="Normal 6 2 2 2 3 2 2 3 2" xfId="14618" xr:uid="{00000000-0005-0000-0000-0000A9490000}"/>
    <cellStyle name="Normal 6 2 2 2 3 2 2 3 2 2" xfId="14619" xr:uid="{00000000-0005-0000-0000-0000AA490000}"/>
    <cellStyle name="Normal 6 2 2 2 3 2 2 3 3" xfId="14620" xr:uid="{00000000-0005-0000-0000-0000AB490000}"/>
    <cellStyle name="Normal 6 2 2 2 3 2 2 4" xfId="14621" xr:uid="{00000000-0005-0000-0000-0000AC490000}"/>
    <cellStyle name="Normal 6 2 2 2 3 2 2 4 2" xfId="14622" xr:uid="{00000000-0005-0000-0000-0000AD490000}"/>
    <cellStyle name="Normal 6 2 2 2 3 2 2 5" xfId="14623" xr:uid="{00000000-0005-0000-0000-0000AE490000}"/>
    <cellStyle name="Normal 6 2 2 2 3 2 3" xfId="14624" xr:uid="{00000000-0005-0000-0000-0000AF490000}"/>
    <cellStyle name="Normal 6 2 2 2 3 2 3 2" xfId="14625" xr:uid="{00000000-0005-0000-0000-0000B0490000}"/>
    <cellStyle name="Normal 6 2 2 2 3 2 3 2 2" xfId="14626" xr:uid="{00000000-0005-0000-0000-0000B1490000}"/>
    <cellStyle name="Normal 6 2 2 2 3 2 3 2 2 2" xfId="14627" xr:uid="{00000000-0005-0000-0000-0000B2490000}"/>
    <cellStyle name="Normal 6 2 2 2 3 2 3 2 3" xfId="14628" xr:uid="{00000000-0005-0000-0000-0000B3490000}"/>
    <cellStyle name="Normal 6 2 2 2 3 2 3 3" xfId="14629" xr:uid="{00000000-0005-0000-0000-0000B4490000}"/>
    <cellStyle name="Normal 6 2 2 2 3 2 3 3 2" xfId="14630" xr:uid="{00000000-0005-0000-0000-0000B5490000}"/>
    <cellStyle name="Normal 6 2 2 2 3 2 3 4" xfId="14631" xr:uid="{00000000-0005-0000-0000-0000B6490000}"/>
    <cellStyle name="Normal 6 2 2 2 3 2 4" xfId="14632" xr:uid="{00000000-0005-0000-0000-0000B7490000}"/>
    <cellStyle name="Normal 6 2 2 2 3 2 4 2" xfId="14633" xr:uid="{00000000-0005-0000-0000-0000B8490000}"/>
    <cellStyle name="Normal 6 2 2 2 3 2 4 2 2" xfId="14634" xr:uid="{00000000-0005-0000-0000-0000B9490000}"/>
    <cellStyle name="Normal 6 2 2 2 3 2 4 3" xfId="14635" xr:uid="{00000000-0005-0000-0000-0000BA490000}"/>
    <cellStyle name="Normal 6 2 2 2 3 2 5" xfId="14636" xr:uid="{00000000-0005-0000-0000-0000BB490000}"/>
    <cellStyle name="Normal 6 2 2 2 3 2 5 2" xfId="14637" xr:uid="{00000000-0005-0000-0000-0000BC490000}"/>
    <cellStyle name="Normal 6 2 2 2 3 2 6" xfId="14638" xr:uid="{00000000-0005-0000-0000-0000BD490000}"/>
    <cellStyle name="Normal 6 2 2 2 3 3" xfId="14639" xr:uid="{00000000-0005-0000-0000-0000BE490000}"/>
    <cellStyle name="Normal 6 2 2 2 3 3 2" xfId="14640" xr:uid="{00000000-0005-0000-0000-0000BF490000}"/>
    <cellStyle name="Normal 6 2 2 2 3 3 2 2" xfId="14641" xr:uid="{00000000-0005-0000-0000-0000C0490000}"/>
    <cellStyle name="Normal 6 2 2 2 3 3 2 2 2" xfId="14642" xr:uid="{00000000-0005-0000-0000-0000C1490000}"/>
    <cellStyle name="Normal 6 2 2 2 3 3 2 2 2 2" xfId="14643" xr:uid="{00000000-0005-0000-0000-0000C2490000}"/>
    <cellStyle name="Normal 6 2 2 2 3 3 2 2 3" xfId="14644" xr:uid="{00000000-0005-0000-0000-0000C3490000}"/>
    <cellStyle name="Normal 6 2 2 2 3 3 2 3" xfId="14645" xr:uid="{00000000-0005-0000-0000-0000C4490000}"/>
    <cellStyle name="Normal 6 2 2 2 3 3 2 3 2" xfId="14646" xr:uid="{00000000-0005-0000-0000-0000C5490000}"/>
    <cellStyle name="Normal 6 2 2 2 3 3 2 4" xfId="14647" xr:uid="{00000000-0005-0000-0000-0000C6490000}"/>
    <cellStyle name="Normal 6 2 2 2 3 3 3" xfId="14648" xr:uid="{00000000-0005-0000-0000-0000C7490000}"/>
    <cellStyle name="Normal 6 2 2 2 3 3 3 2" xfId="14649" xr:uid="{00000000-0005-0000-0000-0000C8490000}"/>
    <cellStyle name="Normal 6 2 2 2 3 3 3 2 2" xfId="14650" xr:uid="{00000000-0005-0000-0000-0000C9490000}"/>
    <cellStyle name="Normal 6 2 2 2 3 3 3 3" xfId="14651" xr:uid="{00000000-0005-0000-0000-0000CA490000}"/>
    <cellStyle name="Normal 6 2 2 2 3 3 4" xfId="14652" xr:uid="{00000000-0005-0000-0000-0000CB490000}"/>
    <cellStyle name="Normal 6 2 2 2 3 3 4 2" xfId="14653" xr:uid="{00000000-0005-0000-0000-0000CC490000}"/>
    <cellStyle name="Normal 6 2 2 2 3 3 5" xfId="14654" xr:uid="{00000000-0005-0000-0000-0000CD490000}"/>
    <cellStyle name="Normal 6 2 2 2 3 4" xfId="14655" xr:uid="{00000000-0005-0000-0000-0000CE490000}"/>
    <cellStyle name="Normal 6 2 2 2 3 4 2" xfId="14656" xr:uid="{00000000-0005-0000-0000-0000CF490000}"/>
    <cellStyle name="Normal 6 2 2 2 3 4 2 2" xfId="14657" xr:uid="{00000000-0005-0000-0000-0000D0490000}"/>
    <cellStyle name="Normal 6 2 2 2 3 4 2 2 2" xfId="14658" xr:uid="{00000000-0005-0000-0000-0000D1490000}"/>
    <cellStyle name="Normal 6 2 2 2 3 4 2 3" xfId="14659" xr:uid="{00000000-0005-0000-0000-0000D2490000}"/>
    <cellStyle name="Normal 6 2 2 2 3 4 3" xfId="14660" xr:uid="{00000000-0005-0000-0000-0000D3490000}"/>
    <cellStyle name="Normal 6 2 2 2 3 4 3 2" xfId="14661" xr:uid="{00000000-0005-0000-0000-0000D4490000}"/>
    <cellStyle name="Normal 6 2 2 2 3 4 4" xfId="14662" xr:uid="{00000000-0005-0000-0000-0000D5490000}"/>
    <cellStyle name="Normal 6 2 2 2 3 5" xfId="14663" xr:uid="{00000000-0005-0000-0000-0000D6490000}"/>
    <cellStyle name="Normal 6 2 2 2 3 5 2" xfId="14664" xr:uid="{00000000-0005-0000-0000-0000D7490000}"/>
    <cellStyle name="Normal 6 2 2 2 3 5 2 2" xfId="14665" xr:uid="{00000000-0005-0000-0000-0000D8490000}"/>
    <cellStyle name="Normal 6 2 2 2 3 5 3" xfId="14666" xr:uid="{00000000-0005-0000-0000-0000D9490000}"/>
    <cellStyle name="Normal 6 2 2 2 3 6" xfId="14667" xr:uid="{00000000-0005-0000-0000-0000DA490000}"/>
    <cellStyle name="Normal 6 2 2 2 3 6 2" xfId="14668" xr:uid="{00000000-0005-0000-0000-0000DB490000}"/>
    <cellStyle name="Normal 6 2 2 2 3 7" xfId="14669" xr:uid="{00000000-0005-0000-0000-0000DC490000}"/>
    <cellStyle name="Normal 6 2 2 2 4" xfId="14670" xr:uid="{00000000-0005-0000-0000-0000DD490000}"/>
    <cellStyle name="Normal 6 2 2 2 4 2" xfId="14671" xr:uid="{00000000-0005-0000-0000-0000DE490000}"/>
    <cellStyle name="Normal 6 2 2 2 4 2 2" xfId="14672" xr:uid="{00000000-0005-0000-0000-0000DF490000}"/>
    <cellStyle name="Normal 6 2 2 2 4 2 2 2" xfId="14673" xr:uid="{00000000-0005-0000-0000-0000E0490000}"/>
    <cellStyle name="Normal 6 2 2 2 4 2 2 2 2" xfId="14674" xr:uid="{00000000-0005-0000-0000-0000E1490000}"/>
    <cellStyle name="Normal 6 2 2 2 4 2 2 2 2 2" xfId="14675" xr:uid="{00000000-0005-0000-0000-0000E2490000}"/>
    <cellStyle name="Normal 6 2 2 2 4 2 2 2 3" xfId="14676" xr:uid="{00000000-0005-0000-0000-0000E3490000}"/>
    <cellStyle name="Normal 6 2 2 2 4 2 2 3" xfId="14677" xr:uid="{00000000-0005-0000-0000-0000E4490000}"/>
    <cellStyle name="Normal 6 2 2 2 4 2 2 3 2" xfId="14678" xr:uid="{00000000-0005-0000-0000-0000E5490000}"/>
    <cellStyle name="Normal 6 2 2 2 4 2 2 4" xfId="14679" xr:uid="{00000000-0005-0000-0000-0000E6490000}"/>
    <cellStyle name="Normal 6 2 2 2 4 2 3" xfId="14680" xr:uid="{00000000-0005-0000-0000-0000E7490000}"/>
    <cellStyle name="Normal 6 2 2 2 4 2 3 2" xfId="14681" xr:uid="{00000000-0005-0000-0000-0000E8490000}"/>
    <cellStyle name="Normal 6 2 2 2 4 2 3 2 2" xfId="14682" xr:uid="{00000000-0005-0000-0000-0000E9490000}"/>
    <cellStyle name="Normal 6 2 2 2 4 2 3 3" xfId="14683" xr:uid="{00000000-0005-0000-0000-0000EA490000}"/>
    <cellStyle name="Normal 6 2 2 2 4 2 4" xfId="14684" xr:uid="{00000000-0005-0000-0000-0000EB490000}"/>
    <cellStyle name="Normal 6 2 2 2 4 2 4 2" xfId="14685" xr:uid="{00000000-0005-0000-0000-0000EC490000}"/>
    <cellStyle name="Normal 6 2 2 2 4 2 5" xfId="14686" xr:uid="{00000000-0005-0000-0000-0000ED490000}"/>
    <cellStyle name="Normal 6 2 2 2 4 3" xfId="14687" xr:uid="{00000000-0005-0000-0000-0000EE490000}"/>
    <cellStyle name="Normal 6 2 2 2 4 3 2" xfId="14688" xr:uid="{00000000-0005-0000-0000-0000EF490000}"/>
    <cellStyle name="Normal 6 2 2 2 4 3 2 2" xfId="14689" xr:uid="{00000000-0005-0000-0000-0000F0490000}"/>
    <cellStyle name="Normal 6 2 2 2 4 3 2 2 2" xfId="14690" xr:uid="{00000000-0005-0000-0000-0000F1490000}"/>
    <cellStyle name="Normal 6 2 2 2 4 3 2 3" xfId="14691" xr:uid="{00000000-0005-0000-0000-0000F2490000}"/>
    <cellStyle name="Normal 6 2 2 2 4 3 3" xfId="14692" xr:uid="{00000000-0005-0000-0000-0000F3490000}"/>
    <cellStyle name="Normal 6 2 2 2 4 3 3 2" xfId="14693" xr:uid="{00000000-0005-0000-0000-0000F4490000}"/>
    <cellStyle name="Normal 6 2 2 2 4 3 4" xfId="14694" xr:uid="{00000000-0005-0000-0000-0000F5490000}"/>
    <cellStyle name="Normal 6 2 2 2 4 4" xfId="14695" xr:uid="{00000000-0005-0000-0000-0000F6490000}"/>
    <cellStyle name="Normal 6 2 2 2 4 4 2" xfId="14696" xr:uid="{00000000-0005-0000-0000-0000F7490000}"/>
    <cellStyle name="Normal 6 2 2 2 4 4 2 2" xfId="14697" xr:uid="{00000000-0005-0000-0000-0000F8490000}"/>
    <cellStyle name="Normal 6 2 2 2 4 4 3" xfId="14698" xr:uid="{00000000-0005-0000-0000-0000F9490000}"/>
    <cellStyle name="Normal 6 2 2 2 4 5" xfId="14699" xr:uid="{00000000-0005-0000-0000-0000FA490000}"/>
    <cellStyle name="Normal 6 2 2 2 4 5 2" xfId="14700" xr:uid="{00000000-0005-0000-0000-0000FB490000}"/>
    <cellStyle name="Normal 6 2 2 2 4 6" xfId="14701" xr:uid="{00000000-0005-0000-0000-0000FC490000}"/>
    <cellStyle name="Normal 6 2 2 2 5" xfId="14702" xr:uid="{00000000-0005-0000-0000-0000FD490000}"/>
    <cellStyle name="Normal 6 2 2 2 5 2" xfId="14703" xr:uid="{00000000-0005-0000-0000-0000FE490000}"/>
    <cellStyle name="Normal 6 2 2 2 5 2 2" xfId="14704" xr:uid="{00000000-0005-0000-0000-0000FF490000}"/>
    <cellStyle name="Normal 6 2 2 2 5 2 2 2" xfId="14705" xr:uid="{00000000-0005-0000-0000-0000004A0000}"/>
    <cellStyle name="Normal 6 2 2 2 5 2 2 2 2" xfId="14706" xr:uid="{00000000-0005-0000-0000-0000014A0000}"/>
    <cellStyle name="Normal 6 2 2 2 5 2 2 3" xfId="14707" xr:uid="{00000000-0005-0000-0000-0000024A0000}"/>
    <cellStyle name="Normal 6 2 2 2 5 2 3" xfId="14708" xr:uid="{00000000-0005-0000-0000-0000034A0000}"/>
    <cellStyle name="Normal 6 2 2 2 5 2 3 2" xfId="14709" xr:uid="{00000000-0005-0000-0000-0000044A0000}"/>
    <cellStyle name="Normal 6 2 2 2 5 2 4" xfId="14710" xr:uid="{00000000-0005-0000-0000-0000054A0000}"/>
    <cellStyle name="Normal 6 2 2 2 5 3" xfId="14711" xr:uid="{00000000-0005-0000-0000-0000064A0000}"/>
    <cellStyle name="Normal 6 2 2 2 5 3 2" xfId="14712" xr:uid="{00000000-0005-0000-0000-0000074A0000}"/>
    <cellStyle name="Normal 6 2 2 2 5 3 2 2" xfId="14713" xr:uid="{00000000-0005-0000-0000-0000084A0000}"/>
    <cellStyle name="Normal 6 2 2 2 5 3 3" xfId="14714" xr:uid="{00000000-0005-0000-0000-0000094A0000}"/>
    <cellStyle name="Normal 6 2 2 2 5 4" xfId="14715" xr:uid="{00000000-0005-0000-0000-00000A4A0000}"/>
    <cellStyle name="Normal 6 2 2 2 5 4 2" xfId="14716" xr:uid="{00000000-0005-0000-0000-00000B4A0000}"/>
    <cellStyle name="Normal 6 2 2 2 5 5" xfId="14717" xr:uid="{00000000-0005-0000-0000-00000C4A0000}"/>
    <cellStyle name="Normal 6 2 2 2 6" xfId="14718" xr:uid="{00000000-0005-0000-0000-00000D4A0000}"/>
    <cellStyle name="Normal 6 2 2 2 6 2" xfId="14719" xr:uid="{00000000-0005-0000-0000-00000E4A0000}"/>
    <cellStyle name="Normal 6 2 2 2 6 2 2" xfId="14720" xr:uid="{00000000-0005-0000-0000-00000F4A0000}"/>
    <cellStyle name="Normal 6 2 2 2 6 2 2 2" xfId="14721" xr:uid="{00000000-0005-0000-0000-0000104A0000}"/>
    <cellStyle name="Normal 6 2 2 2 6 2 3" xfId="14722" xr:uid="{00000000-0005-0000-0000-0000114A0000}"/>
    <cellStyle name="Normal 6 2 2 2 6 3" xfId="14723" xr:uid="{00000000-0005-0000-0000-0000124A0000}"/>
    <cellStyle name="Normal 6 2 2 2 6 3 2" xfId="14724" xr:uid="{00000000-0005-0000-0000-0000134A0000}"/>
    <cellStyle name="Normal 6 2 2 2 6 4" xfId="14725" xr:uid="{00000000-0005-0000-0000-0000144A0000}"/>
    <cellStyle name="Normal 6 2 2 2 7" xfId="14726" xr:uid="{00000000-0005-0000-0000-0000154A0000}"/>
    <cellStyle name="Normal 6 2 2 2 7 2" xfId="14727" xr:uid="{00000000-0005-0000-0000-0000164A0000}"/>
    <cellStyle name="Normal 6 2 2 2 7 2 2" xfId="14728" xr:uid="{00000000-0005-0000-0000-0000174A0000}"/>
    <cellStyle name="Normal 6 2 2 2 7 3" xfId="14729" xr:uid="{00000000-0005-0000-0000-0000184A0000}"/>
    <cellStyle name="Normal 6 2 2 2 8" xfId="14730" xr:uid="{00000000-0005-0000-0000-0000194A0000}"/>
    <cellStyle name="Normal 6 2 2 2 8 2" xfId="14731" xr:uid="{00000000-0005-0000-0000-00001A4A0000}"/>
    <cellStyle name="Normal 6 2 2 2 9" xfId="14732" xr:uid="{00000000-0005-0000-0000-00001B4A0000}"/>
    <cellStyle name="Normal 6 2 2 3" xfId="14733" xr:uid="{00000000-0005-0000-0000-00001C4A0000}"/>
    <cellStyle name="Normal 6 2 2 3 2" xfId="14734" xr:uid="{00000000-0005-0000-0000-00001D4A0000}"/>
    <cellStyle name="Normal 6 2 2 3 2 2" xfId="14735" xr:uid="{00000000-0005-0000-0000-00001E4A0000}"/>
    <cellStyle name="Normal 6 2 2 3 2 2 2" xfId="14736" xr:uid="{00000000-0005-0000-0000-00001F4A0000}"/>
    <cellStyle name="Normal 6 2 2 3 2 2 2 2" xfId="14737" xr:uid="{00000000-0005-0000-0000-0000204A0000}"/>
    <cellStyle name="Normal 6 2 2 3 2 2 2 2 2" xfId="14738" xr:uid="{00000000-0005-0000-0000-0000214A0000}"/>
    <cellStyle name="Normal 6 2 2 3 2 2 2 2 2 2" xfId="14739" xr:uid="{00000000-0005-0000-0000-0000224A0000}"/>
    <cellStyle name="Normal 6 2 2 3 2 2 2 2 2 2 2" xfId="14740" xr:uid="{00000000-0005-0000-0000-0000234A0000}"/>
    <cellStyle name="Normal 6 2 2 3 2 2 2 2 2 3" xfId="14741" xr:uid="{00000000-0005-0000-0000-0000244A0000}"/>
    <cellStyle name="Normal 6 2 2 3 2 2 2 2 3" xfId="14742" xr:uid="{00000000-0005-0000-0000-0000254A0000}"/>
    <cellStyle name="Normal 6 2 2 3 2 2 2 2 3 2" xfId="14743" xr:uid="{00000000-0005-0000-0000-0000264A0000}"/>
    <cellStyle name="Normal 6 2 2 3 2 2 2 2 4" xfId="14744" xr:uid="{00000000-0005-0000-0000-0000274A0000}"/>
    <cellStyle name="Normal 6 2 2 3 2 2 2 3" xfId="14745" xr:uid="{00000000-0005-0000-0000-0000284A0000}"/>
    <cellStyle name="Normal 6 2 2 3 2 2 2 3 2" xfId="14746" xr:uid="{00000000-0005-0000-0000-0000294A0000}"/>
    <cellStyle name="Normal 6 2 2 3 2 2 2 3 2 2" xfId="14747" xr:uid="{00000000-0005-0000-0000-00002A4A0000}"/>
    <cellStyle name="Normal 6 2 2 3 2 2 2 3 3" xfId="14748" xr:uid="{00000000-0005-0000-0000-00002B4A0000}"/>
    <cellStyle name="Normal 6 2 2 3 2 2 2 4" xfId="14749" xr:uid="{00000000-0005-0000-0000-00002C4A0000}"/>
    <cellStyle name="Normal 6 2 2 3 2 2 2 4 2" xfId="14750" xr:uid="{00000000-0005-0000-0000-00002D4A0000}"/>
    <cellStyle name="Normal 6 2 2 3 2 2 2 5" xfId="14751" xr:uid="{00000000-0005-0000-0000-00002E4A0000}"/>
    <cellStyle name="Normal 6 2 2 3 2 2 3" xfId="14752" xr:uid="{00000000-0005-0000-0000-00002F4A0000}"/>
    <cellStyle name="Normal 6 2 2 3 2 2 3 2" xfId="14753" xr:uid="{00000000-0005-0000-0000-0000304A0000}"/>
    <cellStyle name="Normal 6 2 2 3 2 2 3 2 2" xfId="14754" xr:uid="{00000000-0005-0000-0000-0000314A0000}"/>
    <cellStyle name="Normal 6 2 2 3 2 2 3 2 2 2" xfId="14755" xr:uid="{00000000-0005-0000-0000-0000324A0000}"/>
    <cellStyle name="Normal 6 2 2 3 2 2 3 2 3" xfId="14756" xr:uid="{00000000-0005-0000-0000-0000334A0000}"/>
    <cellStyle name="Normal 6 2 2 3 2 2 3 3" xfId="14757" xr:uid="{00000000-0005-0000-0000-0000344A0000}"/>
    <cellStyle name="Normal 6 2 2 3 2 2 3 3 2" xfId="14758" xr:uid="{00000000-0005-0000-0000-0000354A0000}"/>
    <cellStyle name="Normal 6 2 2 3 2 2 3 4" xfId="14759" xr:uid="{00000000-0005-0000-0000-0000364A0000}"/>
    <cellStyle name="Normal 6 2 2 3 2 2 4" xfId="14760" xr:uid="{00000000-0005-0000-0000-0000374A0000}"/>
    <cellStyle name="Normal 6 2 2 3 2 2 4 2" xfId="14761" xr:uid="{00000000-0005-0000-0000-0000384A0000}"/>
    <cellStyle name="Normal 6 2 2 3 2 2 4 2 2" xfId="14762" xr:uid="{00000000-0005-0000-0000-0000394A0000}"/>
    <cellStyle name="Normal 6 2 2 3 2 2 4 3" xfId="14763" xr:uid="{00000000-0005-0000-0000-00003A4A0000}"/>
    <cellStyle name="Normal 6 2 2 3 2 2 5" xfId="14764" xr:uid="{00000000-0005-0000-0000-00003B4A0000}"/>
    <cellStyle name="Normal 6 2 2 3 2 2 5 2" xfId="14765" xr:uid="{00000000-0005-0000-0000-00003C4A0000}"/>
    <cellStyle name="Normal 6 2 2 3 2 2 6" xfId="14766" xr:uid="{00000000-0005-0000-0000-00003D4A0000}"/>
    <cellStyle name="Normal 6 2 2 3 2 3" xfId="14767" xr:uid="{00000000-0005-0000-0000-00003E4A0000}"/>
    <cellStyle name="Normal 6 2 2 3 2 3 2" xfId="14768" xr:uid="{00000000-0005-0000-0000-00003F4A0000}"/>
    <cellStyle name="Normal 6 2 2 3 2 3 2 2" xfId="14769" xr:uid="{00000000-0005-0000-0000-0000404A0000}"/>
    <cellStyle name="Normal 6 2 2 3 2 3 2 2 2" xfId="14770" xr:uid="{00000000-0005-0000-0000-0000414A0000}"/>
    <cellStyle name="Normal 6 2 2 3 2 3 2 2 2 2" xfId="14771" xr:uid="{00000000-0005-0000-0000-0000424A0000}"/>
    <cellStyle name="Normal 6 2 2 3 2 3 2 2 3" xfId="14772" xr:uid="{00000000-0005-0000-0000-0000434A0000}"/>
    <cellStyle name="Normal 6 2 2 3 2 3 2 3" xfId="14773" xr:uid="{00000000-0005-0000-0000-0000444A0000}"/>
    <cellStyle name="Normal 6 2 2 3 2 3 2 3 2" xfId="14774" xr:uid="{00000000-0005-0000-0000-0000454A0000}"/>
    <cellStyle name="Normal 6 2 2 3 2 3 2 4" xfId="14775" xr:uid="{00000000-0005-0000-0000-0000464A0000}"/>
    <cellStyle name="Normal 6 2 2 3 2 3 3" xfId="14776" xr:uid="{00000000-0005-0000-0000-0000474A0000}"/>
    <cellStyle name="Normal 6 2 2 3 2 3 3 2" xfId="14777" xr:uid="{00000000-0005-0000-0000-0000484A0000}"/>
    <cellStyle name="Normal 6 2 2 3 2 3 3 2 2" xfId="14778" xr:uid="{00000000-0005-0000-0000-0000494A0000}"/>
    <cellStyle name="Normal 6 2 2 3 2 3 3 3" xfId="14779" xr:uid="{00000000-0005-0000-0000-00004A4A0000}"/>
    <cellStyle name="Normal 6 2 2 3 2 3 4" xfId="14780" xr:uid="{00000000-0005-0000-0000-00004B4A0000}"/>
    <cellStyle name="Normal 6 2 2 3 2 3 4 2" xfId="14781" xr:uid="{00000000-0005-0000-0000-00004C4A0000}"/>
    <cellStyle name="Normal 6 2 2 3 2 3 5" xfId="14782" xr:uid="{00000000-0005-0000-0000-00004D4A0000}"/>
    <cellStyle name="Normal 6 2 2 3 2 4" xfId="14783" xr:uid="{00000000-0005-0000-0000-00004E4A0000}"/>
    <cellStyle name="Normal 6 2 2 3 2 4 2" xfId="14784" xr:uid="{00000000-0005-0000-0000-00004F4A0000}"/>
    <cellStyle name="Normal 6 2 2 3 2 4 2 2" xfId="14785" xr:uid="{00000000-0005-0000-0000-0000504A0000}"/>
    <cellStyle name="Normal 6 2 2 3 2 4 2 2 2" xfId="14786" xr:uid="{00000000-0005-0000-0000-0000514A0000}"/>
    <cellStyle name="Normal 6 2 2 3 2 4 2 3" xfId="14787" xr:uid="{00000000-0005-0000-0000-0000524A0000}"/>
    <cellStyle name="Normal 6 2 2 3 2 4 3" xfId="14788" xr:uid="{00000000-0005-0000-0000-0000534A0000}"/>
    <cellStyle name="Normal 6 2 2 3 2 4 3 2" xfId="14789" xr:uid="{00000000-0005-0000-0000-0000544A0000}"/>
    <cellStyle name="Normal 6 2 2 3 2 4 4" xfId="14790" xr:uid="{00000000-0005-0000-0000-0000554A0000}"/>
    <cellStyle name="Normal 6 2 2 3 2 5" xfId="14791" xr:uid="{00000000-0005-0000-0000-0000564A0000}"/>
    <cellStyle name="Normal 6 2 2 3 2 5 2" xfId="14792" xr:uid="{00000000-0005-0000-0000-0000574A0000}"/>
    <cellStyle name="Normal 6 2 2 3 2 5 2 2" xfId="14793" xr:uid="{00000000-0005-0000-0000-0000584A0000}"/>
    <cellStyle name="Normal 6 2 2 3 2 5 3" xfId="14794" xr:uid="{00000000-0005-0000-0000-0000594A0000}"/>
    <cellStyle name="Normal 6 2 2 3 2 6" xfId="14795" xr:uid="{00000000-0005-0000-0000-00005A4A0000}"/>
    <cellStyle name="Normal 6 2 2 3 2 6 2" xfId="14796" xr:uid="{00000000-0005-0000-0000-00005B4A0000}"/>
    <cellStyle name="Normal 6 2 2 3 2 7" xfId="14797" xr:uid="{00000000-0005-0000-0000-00005C4A0000}"/>
    <cellStyle name="Normal 6 2 2 3 3" xfId="14798" xr:uid="{00000000-0005-0000-0000-00005D4A0000}"/>
    <cellStyle name="Normal 6 2 2 3 3 2" xfId="14799" xr:uid="{00000000-0005-0000-0000-00005E4A0000}"/>
    <cellStyle name="Normal 6 2 2 3 3 2 2" xfId="14800" xr:uid="{00000000-0005-0000-0000-00005F4A0000}"/>
    <cellStyle name="Normal 6 2 2 3 3 2 2 2" xfId="14801" xr:uid="{00000000-0005-0000-0000-0000604A0000}"/>
    <cellStyle name="Normal 6 2 2 3 3 2 2 2 2" xfId="14802" xr:uid="{00000000-0005-0000-0000-0000614A0000}"/>
    <cellStyle name="Normal 6 2 2 3 3 2 2 2 2 2" xfId="14803" xr:uid="{00000000-0005-0000-0000-0000624A0000}"/>
    <cellStyle name="Normal 6 2 2 3 3 2 2 2 3" xfId="14804" xr:uid="{00000000-0005-0000-0000-0000634A0000}"/>
    <cellStyle name="Normal 6 2 2 3 3 2 2 3" xfId="14805" xr:uid="{00000000-0005-0000-0000-0000644A0000}"/>
    <cellStyle name="Normal 6 2 2 3 3 2 2 3 2" xfId="14806" xr:uid="{00000000-0005-0000-0000-0000654A0000}"/>
    <cellStyle name="Normal 6 2 2 3 3 2 2 4" xfId="14807" xr:uid="{00000000-0005-0000-0000-0000664A0000}"/>
    <cellStyle name="Normal 6 2 2 3 3 2 3" xfId="14808" xr:uid="{00000000-0005-0000-0000-0000674A0000}"/>
    <cellStyle name="Normal 6 2 2 3 3 2 3 2" xfId="14809" xr:uid="{00000000-0005-0000-0000-0000684A0000}"/>
    <cellStyle name="Normal 6 2 2 3 3 2 3 2 2" xfId="14810" xr:uid="{00000000-0005-0000-0000-0000694A0000}"/>
    <cellStyle name="Normal 6 2 2 3 3 2 3 3" xfId="14811" xr:uid="{00000000-0005-0000-0000-00006A4A0000}"/>
    <cellStyle name="Normal 6 2 2 3 3 2 4" xfId="14812" xr:uid="{00000000-0005-0000-0000-00006B4A0000}"/>
    <cellStyle name="Normal 6 2 2 3 3 2 4 2" xfId="14813" xr:uid="{00000000-0005-0000-0000-00006C4A0000}"/>
    <cellStyle name="Normal 6 2 2 3 3 2 5" xfId="14814" xr:uid="{00000000-0005-0000-0000-00006D4A0000}"/>
    <cellStyle name="Normal 6 2 2 3 3 3" xfId="14815" xr:uid="{00000000-0005-0000-0000-00006E4A0000}"/>
    <cellStyle name="Normal 6 2 2 3 3 3 2" xfId="14816" xr:uid="{00000000-0005-0000-0000-00006F4A0000}"/>
    <cellStyle name="Normal 6 2 2 3 3 3 2 2" xfId="14817" xr:uid="{00000000-0005-0000-0000-0000704A0000}"/>
    <cellStyle name="Normal 6 2 2 3 3 3 2 2 2" xfId="14818" xr:uid="{00000000-0005-0000-0000-0000714A0000}"/>
    <cellStyle name="Normal 6 2 2 3 3 3 2 3" xfId="14819" xr:uid="{00000000-0005-0000-0000-0000724A0000}"/>
    <cellStyle name="Normal 6 2 2 3 3 3 3" xfId="14820" xr:uid="{00000000-0005-0000-0000-0000734A0000}"/>
    <cellStyle name="Normal 6 2 2 3 3 3 3 2" xfId="14821" xr:uid="{00000000-0005-0000-0000-0000744A0000}"/>
    <cellStyle name="Normal 6 2 2 3 3 3 4" xfId="14822" xr:uid="{00000000-0005-0000-0000-0000754A0000}"/>
    <cellStyle name="Normal 6 2 2 3 3 4" xfId="14823" xr:uid="{00000000-0005-0000-0000-0000764A0000}"/>
    <cellStyle name="Normal 6 2 2 3 3 4 2" xfId="14824" xr:uid="{00000000-0005-0000-0000-0000774A0000}"/>
    <cellStyle name="Normal 6 2 2 3 3 4 2 2" xfId="14825" xr:uid="{00000000-0005-0000-0000-0000784A0000}"/>
    <cellStyle name="Normal 6 2 2 3 3 4 3" xfId="14826" xr:uid="{00000000-0005-0000-0000-0000794A0000}"/>
    <cellStyle name="Normal 6 2 2 3 3 5" xfId="14827" xr:uid="{00000000-0005-0000-0000-00007A4A0000}"/>
    <cellStyle name="Normal 6 2 2 3 3 5 2" xfId="14828" xr:uid="{00000000-0005-0000-0000-00007B4A0000}"/>
    <cellStyle name="Normal 6 2 2 3 3 6" xfId="14829" xr:uid="{00000000-0005-0000-0000-00007C4A0000}"/>
    <cellStyle name="Normal 6 2 2 3 4" xfId="14830" xr:uid="{00000000-0005-0000-0000-00007D4A0000}"/>
    <cellStyle name="Normal 6 2 2 3 4 2" xfId="14831" xr:uid="{00000000-0005-0000-0000-00007E4A0000}"/>
    <cellStyle name="Normal 6 2 2 3 4 2 2" xfId="14832" xr:uid="{00000000-0005-0000-0000-00007F4A0000}"/>
    <cellStyle name="Normal 6 2 2 3 4 2 2 2" xfId="14833" xr:uid="{00000000-0005-0000-0000-0000804A0000}"/>
    <cellStyle name="Normal 6 2 2 3 4 2 2 2 2" xfId="14834" xr:uid="{00000000-0005-0000-0000-0000814A0000}"/>
    <cellStyle name="Normal 6 2 2 3 4 2 2 3" xfId="14835" xr:uid="{00000000-0005-0000-0000-0000824A0000}"/>
    <cellStyle name="Normal 6 2 2 3 4 2 3" xfId="14836" xr:uid="{00000000-0005-0000-0000-0000834A0000}"/>
    <cellStyle name="Normal 6 2 2 3 4 2 3 2" xfId="14837" xr:uid="{00000000-0005-0000-0000-0000844A0000}"/>
    <cellStyle name="Normal 6 2 2 3 4 2 4" xfId="14838" xr:uid="{00000000-0005-0000-0000-0000854A0000}"/>
    <cellStyle name="Normal 6 2 2 3 4 3" xfId="14839" xr:uid="{00000000-0005-0000-0000-0000864A0000}"/>
    <cellStyle name="Normal 6 2 2 3 4 3 2" xfId="14840" xr:uid="{00000000-0005-0000-0000-0000874A0000}"/>
    <cellStyle name="Normal 6 2 2 3 4 3 2 2" xfId="14841" xr:uid="{00000000-0005-0000-0000-0000884A0000}"/>
    <cellStyle name="Normal 6 2 2 3 4 3 3" xfId="14842" xr:uid="{00000000-0005-0000-0000-0000894A0000}"/>
    <cellStyle name="Normal 6 2 2 3 4 4" xfId="14843" xr:uid="{00000000-0005-0000-0000-00008A4A0000}"/>
    <cellStyle name="Normal 6 2 2 3 4 4 2" xfId="14844" xr:uid="{00000000-0005-0000-0000-00008B4A0000}"/>
    <cellStyle name="Normal 6 2 2 3 4 5" xfId="14845" xr:uid="{00000000-0005-0000-0000-00008C4A0000}"/>
    <cellStyle name="Normal 6 2 2 3 5" xfId="14846" xr:uid="{00000000-0005-0000-0000-00008D4A0000}"/>
    <cellStyle name="Normal 6 2 2 3 5 2" xfId="14847" xr:uid="{00000000-0005-0000-0000-00008E4A0000}"/>
    <cellStyle name="Normal 6 2 2 3 5 2 2" xfId="14848" xr:uid="{00000000-0005-0000-0000-00008F4A0000}"/>
    <cellStyle name="Normal 6 2 2 3 5 2 2 2" xfId="14849" xr:uid="{00000000-0005-0000-0000-0000904A0000}"/>
    <cellStyle name="Normal 6 2 2 3 5 2 3" xfId="14850" xr:uid="{00000000-0005-0000-0000-0000914A0000}"/>
    <cellStyle name="Normal 6 2 2 3 5 3" xfId="14851" xr:uid="{00000000-0005-0000-0000-0000924A0000}"/>
    <cellStyle name="Normal 6 2 2 3 5 3 2" xfId="14852" xr:uid="{00000000-0005-0000-0000-0000934A0000}"/>
    <cellStyle name="Normal 6 2 2 3 5 4" xfId="14853" xr:uid="{00000000-0005-0000-0000-0000944A0000}"/>
    <cellStyle name="Normal 6 2 2 3 6" xfId="14854" xr:uid="{00000000-0005-0000-0000-0000954A0000}"/>
    <cellStyle name="Normal 6 2 2 3 6 2" xfId="14855" xr:uid="{00000000-0005-0000-0000-0000964A0000}"/>
    <cellStyle name="Normal 6 2 2 3 6 2 2" xfId="14856" xr:uid="{00000000-0005-0000-0000-0000974A0000}"/>
    <cellStyle name="Normal 6 2 2 3 6 3" xfId="14857" xr:uid="{00000000-0005-0000-0000-0000984A0000}"/>
    <cellStyle name="Normal 6 2 2 3 7" xfId="14858" xr:uid="{00000000-0005-0000-0000-0000994A0000}"/>
    <cellStyle name="Normal 6 2 2 3 7 2" xfId="14859" xr:uid="{00000000-0005-0000-0000-00009A4A0000}"/>
    <cellStyle name="Normal 6 2 2 3 8" xfId="14860" xr:uid="{00000000-0005-0000-0000-00009B4A0000}"/>
    <cellStyle name="Normal 6 2 2 4" xfId="14861" xr:uid="{00000000-0005-0000-0000-00009C4A0000}"/>
    <cellStyle name="Normal 6 2 2 4 2" xfId="14862" xr:uid="{00000000-0005-0000-0000-00009D4A0000}"/>
    <cellStyle name="Normal 6 2 2 4 2 2" xfId="14863" xr:uid="{00000000-0005-0000-0000-00009E4A0000}"/>
    <cellStyle name="Normal 6 2 2 4 2 2 2" xfId="14864" xr:uid="{00000000-0005-0000-0000-00009F4A0000}"/>
    <cellStyle name="Normal 6 2 2 4 2 2 2 2" xfId="14865" xr:uid="{00000000-0005-0000-0000-0000A04A0000}"/>
    <cellStyle name="Normal 6 2 2 4 2 2 2 2 2" xfId="14866" xr:uid="{00000000-0005-0000-0000-0000A14A0000}"/>
    <cellStyle name="Normal 6 2 2 4 2 2 2 2 2 2" xfId="14867" xr:uid="{00000000-0005-0000-0000-0000A24A0000}"/>
    <cellStyle name="Normal 6 2 2 4 2 2 2 2 3" xfId="14868" xr:uid="{00000000-0005-0000-0000-0000A34A0000}"/>
    <cellStyle name="Normal 6 2 2 4 2 2 2 3" xfId="14869" xr:uid="{00000000-0005-0000-0000-0000A44A0000}"/>
    <cellStyle name="Normal 6 2 2 4 2 2 2 3 2" xfId="14870" xr:uid="{00000000-0005-0000-0000-0000A54A0000}"/>
    <cellStyle name="Normal 6 2 2 4 2 2 2 4" xfId="14871" xr:uid="{00000000-0005-0000-0000-0000A64A0000}"/>
    <cellStyle name="Normal 6 2 2 4 2 2 3" xfId="14872" xr:uid="{00000000-0005-0000-0000-0000A74A0000}"/>
    <cellStyle name="Normal 6 2 2 4 2 2 3 2" xfId="14873" xr:uid="{00000000-0005-0000-0000-0000A84A0000}"/>
    <cellStyle name="Normal 6 2 2 4 2 2 3 2 2" xfId="14874" xr:uid="{00000000-0005-0000-0000-0000A94A0000}"/>
    <cellStyle name="Normal 6 2 2 4 2 2 3 3" xfId="14875" xr:uid="{00000000-0005-0000-0000-0000AA4A0000}"/>
    <cellStyle name="Normal 6 2 2 4 2 2 4" xfId="14876" xr:uid="{00000000-0005-0000-0000-0000AB4A0000}"/>
    <cellStyle name="Normal 6 2 2 4 2 2 4 2" xfId="14877" xr:uid="{00000000-0005-0000-0000-0000AC4A0000}"/>
    <cellStyle name="Normal 6 2 2 4 2 2 5" xfId="14878" xr:uid="{00000000-0005-0000-0000-0000AD4A0000}"/>
    <cellStyle name="Normal 6 2 2 4 2 3" xfId="14879" xr:uid="{00000000-0005-0000-0000-0000AE4A0000}"/>
    <cellStyle name="Normal 6 2 2 4 2 3 2" xfId="14880" xr:uid="{00000000-0005-0000-0000-0000AF4A0000}"/>
    <cellStyle name="Normal 6 2 2 4 2 3 2 2" xfId="14881" xr:uid="{00000000-0005-0000-0000-0000B04A0000}"/>
    <cellStyle name="Normal 6 2 2 4 2 3 2 2 2" xfId="14882" xr:uid="{00000000-0005-0000-0000-0000B14A0000}"/>
    <cellStyle name="Normal 6 2 2 4 2 3 2 3" xfId="14883" xr:uid="{00000000-0005-0000-0000-0000B24A0000}"/>
    <cellStyle name="Normal 6 2 2 4 2 3 3" xfId="14884" xr:uid="{00000000-0005-0000-0000-0000B34A0000}"/>
    <cellStyle name="Normal 6 2 2 4 2 3 3 2" xfId="14885" xr:uid="{00000000-0005-0000-0000-0000B44A0000}"/>
    <cellStyle name="Normal 6 2 2 4 2 3 4" xfId="14886" xr:uid="{00000000-0005-0000-0000-0000B54A0000}"/>
    <cellStyle name="Normal 6 2 2 4 2 4" xfId="14887" xr:uid="{00000000-0005-0000-0000-0000B64A0000}"/>
    <cellStyle name="Normal 6 2 2 4 2 4 2" xfId="14888" xr:uid="{00000000-0005-0000-0000-0000B74A0000}"/>
    <cellStyle name="Normal 6 2 2 4 2 4 2 2" xfId="14889" xr:uid="{00000000-0005-0000-0000-0000B84A0000}"/>
    <cellStyle name="Normal 6 2 2 4 2 4 3" xfId="14890" xr:uid="{00000000-0005-0000-0000-0000B94A0000}"/>
    <cellStyle name="Normal 6 2 2 4 2 5" xfId="14891" xr:uid="{00000000-0005-0000-0000-0000BA4A0000}"/>
    <cellStyle name="Normal 6 2 2 4 2 5 2" xfId="14892" xr:uid="{00000000-0005-0000-0000-0000BB4A0000}"/>
    <cellStyle name="Normal 6 2 2 4 2 6" xfId="14893" xr:uid="{00000000-0005-0000-0000-0000BC4A0000}"/>
    <cellStyle name="Normal 6 2 2 4 3" xfId="14894" xr:uid="{00000000-0005-0000-0000-0000BD4A0000}"/>
    <cellStyle name="Normal 6 2 2 4 3 2" xfId="14895" xr:uid="{00000000-0005-0000-0000-0000BE4A0000}"/>
    <cellStyle name="Normal 6 2 2 4 3 2 2" xfId="14896" xr:uid="{00000000-0005-0000-0000-0000BF4A0000}"/>
    <cellStyle name="Normal 6 2 2 4 3 2 2 2" xfId="14897" xr:uid="{00000000-0005-0000-0000-0000C04A0000}"/>
    <cellStyle name="Normal 6 2 2 4 3 2 2 2 2" xfId="14898" xr:uid="{00000000-0005-0000-0000-0000C14A0000}"/>
    <cellStyle name="Normal 6 2 2 4 3 2 2 3" xfId="14899" xr:uid="{00000000-0005-0000-0000-0000C24A0000}"/>
    <cellStyle name="Normal 6 2 2 4 3 2 3" xfId="14900" xr:uid="{00000000-0005-0000-0000-0000C34A0000}"/>
    <cellStyle name="Normal 6 2 2 4 3 2 3 2" xfId="14901" xr:uid="{00000000-0005-0000-0000-0000C44A0000}"/>
    <cellStyle name="Normal 6 2 2 4 3 2 4" xfId="14902" xr:uid="{00000000-0005-0000-0000-0000C54A0000}"/>
    <cellStyle name="Normal 6 2 2 4 3 3" xfId="14903" xr:uid="{00000000-0005-0000-0000-0000C64A0000}"/>
    <cellStyle name="Normal 6 2 2 4 3 3 2" xfId="14904" xr:uid="{00000000-0005-0000-0000-0000C74A0000}"/>
    <cellStyle name="Normal 6 2 2 4 3 3 2 2" xfId="14905" xr:uid="{00000000-0005-0000-0000-0000C84A0000}"/>
    <cellStyle name="Normal 6 2 2 4 3 3 3" xfId="14906" xr:uid="{00000000-0005-0000-0000-0000C94A0000}"/>
    <cellStyle name="Normal 6 2 2 4 3 4" xfId="14907" xr:uid="{00000000-0005-0000-0000-0000CA4A0000}"/>
    <cellStyle name="Normal 6 2 2 4 3 4 2" xfId="14908" xr:uid="{00000000-0005-0000-0000-0000CB4A0000}"/>
    <cellStyle name="Normal 6 2 2 4 3 5" xfId="14909" xr:uid="{00000000-0005-0000-0000-0000CC4A0000}"/>
    <cellStyle name="Normal 6 2 2 4 4" xfId="14910" xr:uid="{00000000-0005-0000-0000-0000CD4A0000}"/>
    <cellStyle name="Normal 6 2 2 4 4 2" xfId="14911" xr:uid="{00000000-0005-0000-0000-0000CE4A0000}"/>
    <cellStyle name="Normal 6 2 2 4 4 2 2" xfId="14912" xr:uid="{00000000-0005-0000-0000-0000CF4A0000}"/>
    <cellStyle name="Normal 6 2 2 4 4 2 2 2" xfId="14913" xr:uid="{00000000-0005-0000-0000-0000D04A0000}"/>
    <cellStyle name="Normal 6 2 2 4 4 2 3" xfId="14914" xr:uid="{00000000-0005-0000-0000-0000D14A0000}"/>
    <cellStyle name="Normal 6 2 2 4 4 3" xfId="14915" xr:uid="{00000000-0005-0000-0000-0000D24A0000}"/>
    <cellStyle name="Normal 6 2 2 4 4 3 2" xfId="14916" xr:uid="{00000000-0005-0000-0000-0000D34A0000}"/>
    <cellStyle name="Normal 6 2 2 4 4 4" xfId="14917" xr:uid="{00000000-0005-0000-0000-0000D44A0000}"/>
    <cellStyle name="Normal 6 2 2 4 5" xfId="14918" xr:uid="{00000000-0005-0000-0000-0000D54A0000}"/>
    <cellStyle name="Normal 6 2 2 4 5 2" xfId="14919" xr:uid="{00000000-0005-0000-0000-0000D64A0000}"/>
    <cellStyle name="Normal 6 2 2 4 5 2 2" xfId="14920" xr:uid="{00000000-0005-0000-0000-0000D74A0000}"/>
    <cellStyle name="Normal 6 2 2 4 5 3" xfId="14921" xr:uid="{00000000-0005-0000-0000-0000D84A0000}"/>
    <cellStyle name="Normal 6 2 2 4 6" xfId="14922" xr:uid="{00000000-0005-0000-0000-0000D94A0000}"/>
    <cellStyle name="Normal 6 2 2 4 6 2" xfId="14923" xr:uid="{00000000-0005-0000-0000-0000DA4A0000}"/>
    <cellStyle name="Normal 6 2 2 4 7" xfId="14924" xr:uid="{00000000-0005-0000-0000-0000DB4A0000}"/>
    <cellStyle name="Normal 6 2 2 5" xfId="14925" xr:uid="{00000000-0005-0000-0000-0000DC4A0000}"/>
    <cellStyle name="Normal 6 2 2 5 2" xfId="14926" xr:uid="{00000000-0005-0000-0000-0000DD4A0000}"/>
    <cellStyle name="Normal 6 2 2 5 2 2" xfId="14927" xr:uid="{00000000-0005-0000-0000-0000DE4A0000}"/>
    <cellStyle name="Normal 6 2 2 5 2 2 2" xfId="14928" xr:uid="{00000000-0005-0000-0000-0000DF4A0000}"/>
    <cellStyle name="Normal 6 2 2 5 2 2 2 2" xfId="14929" xr:uid="{00000000-0005-0000-0000-0000E04A0000}"/>
    <cellStyle name="Normal 6 2 2 5 2 2 2 2 2" xfId="14930" xr:uid="{00000000-0005-0000-0000-0000E14A0000}"/>
    <cellStyle name="Normal 6 2 2 5 2 2 2 3" xfId="14931" xr:uid="{00000000-0005-0000-0000-0000E24A0000}"/>
    <cellStyle name="Normal 6 2 2 5 2 2 3" xfId="14932" xr:uid="{00000000-0005-0000-0000-0000E34A0000}"/>
    <cellStyle name="Normal 6 2 2 5 2 2 3 2" xfId="14933" xr:uid="{00000000-0005-0000-0000-0000E44A0000}"/>
    <cellStyle name="Normal 6 2 2 5 2 2 4" xfId="14934" xr:uid="{00000000-0005-0000-0000-0000E54A0000}"/>
    <cellStyle name="Normal 6 2 2 5 2 3" xfId="14935" xr:uid="{00000000-0005-0000-0000-0000E64A0000}"/>
    <cellStyle name="Normal 6 2 2 5 2 3 2" xfId="14936" xr:uid="{00000000-0005-0000-0000-0000E74A0000}"/>
    <cellStyle name="Normal 6 2 2 5 2 3 2 2" xfId="14937" xr:uid="{00000000-0005-0000-0000-0000E84A0000}"/>
    <cellStyle name="Normal 6 2 2 5 2 3 3" xfId="14938" xr:uid="{00000000-0005-0000-0000-0000E94A0000}"/>
    <cellStyle name="Normal 6 2 2 5 2 4" xfId="14939" xr:uid="{00000000-0005-0000-0000-0000EA4A0000}"/>
    <cellStyle name="Normal 6 2 2 5 2 4 2" xfId="14940" xr:uid="{00000000-0005-0000-0000-0000EB4A0000}"/>
    <cellStyle name="Normal 6 2 2 5 2 5" xfId="14941" xr:uid="{00000000-0005-0000-0000-0000EC4A0000}"/>
    <cellStyle name="Normal 6 2 2 5 3" xfId="14942" xr:uid="{00000000-0005-0000-0000-0000ED4A0000}"/>
    <cellStyle name="Normal 6 2 2 5 3 2" xfId="14943" xr:uid="{00000000-0005-0000-0000-0000EE4A0000}"/>
    <cellStyle name="Normal 6 2 2 5 3 2 2" xfId="14944" xr:uid="{00000000-0005-0000-0000-0000EF4A0000}"/>
    <cellStyle name="Normal 6 2 2 5 3 2 2 2" xfId="14945" xr:uid="{00000000-0005-0000-0000-0000F04A0000}"/>
    <cellStyle name="Normal 6 2 2 5 3 2 3" xfId="14946" xr:uid="{00000000-0005-0000-0000-0000F14A0000}"/>
    <cellStyle name="Normal 6 2 2 5 3 3" xfId="14947" xr:uid="{00000000-0005-0000-0000-0000F24A0000}"/>
    <cellStyle name="Normal 6 2 2 5 3 3 2" xfId="14948" xr:uid="{00000000-0005-0000-0000-0000F34A0000}"/>
    <cellStyle name="Normal 6 2 2 5 3 4" xfId="14949" xr:uid="{00000000-0005-0000-0000-0000F44A0000}"/>
    <cellStyle name="Normal 6 2 2 5 4" xfId="14950" xr:uid="{00000000-0005-0000-0000-0000F54A0000}"/>
    <cellStyle name="Normal 6 2 2 5 4 2" xfId="14951" xr:uid="{00000000-0005-0000-0000-0000F64A0000}"/>
    <cellStyle name="Normal 6 2 2 5 4 2 2" xfId="14952" xr:uid="{00000000-0005-0000-0000-0000F74A0000}"/>
    <cellStyle name="Normal 6 2 2 5 4 3" xfId="14953" xr:uid="{00000000-0005-0000-0000-0000F84A0000}"/>
    <cellStyle name="Normal 6 2 2 5 5" xfId="14954" xr:uid="{00000000-0005-0000-0000-0000F94A0000}"/>
    <cellStyle name="Normal 6 2 2 5 5 2" xfId="14955" xr:uid="{00000000-0005-0000-0000-0000FA4A0000}"/>
    <cellStyle name="Normal 6 2 2 5 6" xfId="14956" xr:uid="{00000000-0005-0000-0000-0000FB4A0000}"/>
    <cellStyle name="Normal 6 2 2 6" xfId="14957" xr:uid="{00000000-0005-0000-0000-0000FC4A0000}"/>
    <cellStyle name="Normal 6 2 2 6 2" xfId="14958" xr:uid="{00000000-0005-0000-0000-0000FD4A0000}"/>
    <cellStyle name="Normal 6 2 2 6 2 2" xfId="14959" xr:uid="{00000000-0005-0000-0000-0000FE4A0000}"/>
    <cellStyle name="Normal 6 2 2 6 2 2 2" xfId="14960" xr:uid="{00000000-0005-0000-0000-0000FF4A0000}"/>
    <cellStyle name="Normal 6 2 2 6 2 2 2 2" xfId="14961" xr:uid="{00000000-0005-0000-0000-0000004B0000}"/>
    <cellStyle name="Normal 6 2 2 6 2 2 3" xfId="14962" xr:uid="{00000000-0005-0000-0000-0000014B0000}"/>
    <cellStyle name="Normal 6 2 2 6 2 3" xfId="14963" xr:uid="{00000000-0005-0000-0000-0000024B0000}"/>
    <cellStyle name="Normal 6 2 2 6 2 3 2" xfId="14964" xr:uid="{00000000-0005-0000-0000-0000034B0000}"/>
    <cellStyle name="Normal 6 2 2 6 2 4" xfId="14965" xr:uid="{00000000-0005-0000-0000-0000044B0000}"/>
    <cellStyle name="Normal 6 2 2 6 3" xfId="14966" xr:uid="{00000000-0005-0000-0000-0000054B0000}"/>
    <cellStyle name="Normal 6 2 2 6 3 2" xfId="14967" xr:uid="{00000000-0005-0000-0000-0000064B0000}"/>
    <cellStyle name="Normal 6 2 2 6 3 2 2" xfId="14968" xr:uid="{00000000-0005-0000-0000-0000074B0000}"/>
    <cellStyle name="Normal 6 2 2 6 3 3" xfId="14969" xr:uid="{00000000-0005-0000-0000-0000084B0000}"/>
    <cellStyle name="Normal 6 2 2 6 4" xfId="14970" xr:uid="{00000000-0005-0000-0000-0000094B0000}"/>
    <cellStyle name="Normal 6 2 2 6 4 2" xfId="14971" xr:uid="{00000000-0005-0000-0000-00000A4B0000}"/>
    <cellStyle name="Normal 6 2 2 6 5" xfId="14972" xr:uid="{00000000-0005-0000-0000-00000B4B0000}"/>
    <cellStyle name="Normal 6 2 2 7" xfId="14973" xr:uid="{00000000-0005-0000-0000-00000C4B0000}"/>
    <cellStyle name="Normal 6 2 2 7 2" xfId="14974" xr:uid="{00000000-0005-0000-0000-00000D4B0000}"/>
    <cellStyle name="Normal 6 2 2 7 2 2" xfId="14975" xr:uid="{00000000-0005-0000-0000-00000E4B0000}"/>
    <cellStyle name="Normal 6 2 2 7 2 2 2" xfId="14976" xr:uid="{00000000-0005-0000-0000-00000F4B0000}"/>
    <cellStyle name="Normal 6 2 2 7 2 3" xfId="14977" xr:uid="{00000000-0005-0000-0000-0000104B0000}"/>
    <cellStyle name="Normal 6 2 2 7 3" xfId="14978" xr:uid="{00000000-0005-0000-0000-0000114B0000}"/>
    <cellStyle name="Normal 6 2 2 7 3 2" xfId="14979" xr:uid="{00000000-0005-0000-0000-0000124B0000}"/>
    <cellStyle name="Normal 6 2 2 7 4" xfId="14980" xr:uid="{00000000-0005-0000-0000-0000134B0000}"/>
    <cellStyle name="Normal 6 2 2 8" xfId="14981" xr:uid="{00000000-0005-0000-0000-0000144B0000}"/>
    <cellStyle name="Normal 6 2 2 8 2" xfId="14982" xr:uid="{00000000-0005-0000-0000-0000154B0000}"/>
    <cellStyle name="Normal 6 2 2 8 2 2" xfId="14983" xr:uid="{00000000-0005-0000-0000-0000164B0000}"/>
    <cellStyle name="Normal 6 2 2 8 3" xfId="14984" xr:uid="{00000000-0005-0000-0000-0000174B0000}"/>
    <cellStyle name="Normal 6 2 2 9" xfId="14985" xr:uid="{00000000-0005-0000-0000-0000184B0000}"/>
    <cellStyle name="Normal 6 2 2 9 2" xfId="14986" xr:uid="{00000000-0005-0000-0000-0000194B0000}"/>
    <cellStyle name="Normal 6 2 3" xfId="14987" xr:uid="{00000000-0005-0000-0000-00001A4B0000}"/>
    <cellStyle name="Normal 6 2 3 2" xfId="14988" xr:uid="{00000000-0005-0000-0000-00001B4B0000}"/>
    <cellStyle name="Normal 6 2 3 2 2" xfId="14989" xr:uid="{00000000-0005-0000-0000-00001C4B0000}"/>
    <cellStyle name="Normal 6 2 3 2 2 2" xfId="14990" xr:uid="{00000000-0005-0000-0000-00001D4B0000}"/>
    <cellStyle name="Normal 6 2 3 2 2 2 2" xfId="14991" xr:uid="{00000000-0005-0000-0000-00001E4B0000}"/>
    <cellStyle name="Normal 6 2 3 2 2 2 2 2" xfId="14992" xr:uid="{00000000-0005-0000-0000-00001F4B0000}"/>
    <cellStyle name="Normal 6 2 3 2 2 2 2 2 2" xfId="14993" xr:uid="{00000000-0005-0000-0000-0000204B0000}"/>
    <cellStyle name="Normal 6 2 3 2 2 2 2 2 2 2" xfId="14994" xr:uid="{00000000-0005-0000-0000-0000214B0000}"/>
    <cellStyle name="Normal 6 2 3 2 2 2 2 2 2 2 2" xfId="14995" xr:uid="{00000000-0005-0000-0000-0000224B0000}"/>
    <cellStyle name="Normal 6 2 3 2 2 2 2 2 2 3" xfId="14996" xr:uid="{00000000-0005-0000-0000-0000234B0000}"/>
    <cellStyle name="Normal 6 2 3 2 2 2 2 2 3" xfId="14997" xr:uid="{00000000-0005-0000-0000-0000244B0000}"/>
    <cellStyle name="Normal 6 2 3 2 2 2 2 2 3 2" xfId="14998" xr:uid="{00000000-0005-0000-0000-0000254B0000}"/>
    <cellStyle name="Normal 6 2 3 2 2 2 2 2 4" xfId="14999" xr:uid="{00000000-0005-0000-0000-0000264B0000}"/>
    <cellStyle name="Normal 6 2 3 2 2 2 2 3" xfId="15000" xr:uid="{00000000-0005-0000-0000-0000274B0000}"/>
    <cellStyle name="Normal 6 2 3 2 2 2 2 3 2" xfId="15001" xr:uid="{00000000-0005-0000-0000-0000284B0000}"/>
    <cellStyle name="Normal 6 2 3 2 2 2 2 3 2 2" xfId="15002" xr:uid="{00000000-0005-0000-0000-0000294B0000}"/>
    <cellStyle name="Normal 6 2 3 2 2 2 2 3 3" xfId="15003" xr:uid="{00000000-0005-0000-0000-00002A4B0000}"/>
    <cellStyle name="Normal 6 2 3 2 2 2 2 4" xfId="15004" xr:uid="{00000000-0005-0000-0000-00002B4B0000}"/>
    <cellStyle name="Normal 6 2 3 2 2 2 2 4 2" xfId="15005" xr:uid="{00000000-0005-0000-0000-00002C4B0000}"/>
    <cellStyle name="Normal 6 2 3 2 2 2 2 5" xfId="15006" xr:uid="{00000000-0005-0000-0000-00002D4B0000}"/>
    <cellStyle name="Normal 6 2 3 2 2 2 3" xfId="15007" xr:uid="{00000000-0005-0000-0000-00002E4B0000}"/>
    <cellStyle name="Normal 6 2 3 2 2 2 3 2" xfId="15008" xr:uid="{00000000-0005-0000-0000-00002F4B0000}"/>
    <cellStyle name="Normal 6 2 3 2 2 2 3 2 2" xfId="15009" xr:uid="{00000000-0005-0000-0000-0000304B0000}"/>
    <cellStyle name="Normal 6 2 3 2 2 2 3 2 2 2" xfId="15010" xr:uid="{00000000-0005-0000-0000-0000314B0000}"/>
    <cellStyle name="Normal 6 2 3 2 2 2 3 2 3" xfId="15011" xr:uid="{00000000-0005-0000-0000-0000324B0000}"/>
    <cellStyle name="Normal 6 2 3 2 2 2 3 3" xfId="15012" xr:uid="{00000000-0005-0000-0000-0000334B0000}"/>
    <cellStyle name="Normal 6 2 3 2 2 2 3 3 2" xfId="15013" xr:uid="{00000000-0005-0000-0000-0000344B0000}"/>
    <cellStyle name="Normal 6 2 3 2 2 2 3 4" xfId="15014" xr:uid="{00000000-0005-0000-0000-0000354B0000}"/>
    <cellStyle name="Normal 6 2 3 2 2 2 4" xfId="15015" xr:uid="{00000000-0005-0000-0000-0000364B0000}"/>
    <cellStyle name="Normal 6 2 3 2 2 2 4 2" xfId="15016" xr:uid="{00000000-0005-0000-0000-0000374B0000}"/>
    <cellStyle name="Normal 6 2 3 2 2 2 4 2 2" xfId="15017" xr:uid="{00000000-0005-0000-0000-0000384B0000}"/>
    <cellStyle name="Normal 6 2 3 2 2 2 4 3" xfId="15018" xr:uid="{00000000-0005-0000-0000-0000394B0000}"/>
    <cellStyle name="Normal 6 2 3 2 2 2 5" xfId="15019" xr:uid="{00000000-0005-0000-0000-00003A4B0000}"/>
    <cellStyle name="Normal 6 2 3 2 2 2 5 2" xfId="15020" xr:uid="{00000000-0005-0000-0000-00003B4B0000}"/>
    <cellStyle name="Normal 6 2 3 2 2 2 6" xfId="15021" xr:uid="{00000000-0005-0000-0000-00003C4B0000}"/>
    <cellStyle name="Normal 6 2 3 2 2 3" xfId="15022" xr:uid="{00000000-0005-0000-0000-00003D4B0000}"/>
    <cellStyle name="Normal 6 2 3 2 2 3 2" xfId="15023" xr:uid="{00000000-0005-0000-0000-00003E4B0000}"/>
    <cellStyle name="Normal 6 2 3 2 2 3 2 2" xfId="15024" xr:uid="{00000000-0005-0000-0000-00003F4B0000}"/>
    <cellStyle name="Normal 6 2 3 2 2 3 2 2 2" xfId="15025" xr:uid="{00000000-0005-0000-0000-0000404B0000}"/>
    <cellStyle name="Normal 6 2 3 2 2 3 2 2 2 2" xfId="15026" xr:uid="{00000000-0005-0000-0000-0000414B0000}"/>
    <cellStyle name="Normal 6 2 3 2 2 3 2 2 3" xfId="15027" xr:uid="{00000000-0005-0000-0000-0000424B0000}"/>
    <cellStyle name="Normal 6 2 3 2 2 3 2 3" xfId="15028" xr:uid="{00000000-0005-0000-0000-0000434B0000}"/>
    <cellStyle name="Normal 6 2 3 2 2 3 2 3 2" xfId="15029" xr:uid="{00000000-0005-0000-0000-0000444B0000}"/>
    <cellStyle name="Normal 6 2 3 2 2 3 2 4" xfId="15030" xr:uid="{00000000-0005-0000-0000-0000454B0000}"/>
    <cellStyle name="Normal 6 2 3 2 2 3 3" xfId="15031" xr:uid="{00000000-0005-0000-0000-0000464B0000}"/>
    <cellStyle name="Normal 6 2 3 2 2 3 3 2" xfId="15032" xr:uid="{00000000-0005-0000-0000-0000474B0000}"/>
    <cellStyle name="Normal 6 2 3 2 2 3 3 2 2" xfId="15033" xr:uid="{00000000-0005-0000-0000-0000484B0000}"/>
    <cellStyle name="Normal 6 2 3 2 2 3 3 3" xfId="15034" xr:uid="{00000000-0005-0000-0000-0000494B0000}"/>
    <cellStyle name="Normal 6 2 3 2 2 3 4" xfId="15035" xr:uid="{00000000-0005-0000-0000-00004A4B0000}"/>
    <cellStyle name="Normal 6 2 3 2 2 3 4 2" xfId="15036" xr:uid="{00000000-0005-0000-0000-00004B4B0000}"/>
    <cellStyle name="Normal 6 2 3 2 2 3 5" xfId="15037" xr:uid="{00000000-0005-0000-0000-00004C4B0000}"/>
    <cellStyle name="Normal 6 2 3 2 2 4" xfId="15038" xr:uid="{00000000-0005-0000-0000-00004D4B0000}"/>
    <cellStyle name="Normal 6 2 3 2 2 4 2" xfId="15039" xr:uid="{00000000-0005-0000-0000-00004E4B0000}"/>
    <cellStyle name="Normal 6 2 3 2 2 4 2 2" xfId="15040" xr:uid="{00000000-0005-0000-0000-00004F4B0000}"/>
    <cellStyle name="Normal 6 2 3 2 2 4 2 2 2" xfId="15041" xr:uid="{00000000-0005-0000-0000-0000504B0000}"/>
    <cellStyle name="Normal 6 2 3 2 2 4 2 3" xfId="15042" xr:uid="{00000000-0005-0000-0000-0000514B0000}"/>
    <cellStyle name="Normal 6 2 3 2 2 4 3" xfId="15043" xr:uid="{00000000-0005-0000-0000-0000524B0000}"/>
    <cellStyle name="Normal 6 2 3 2 2 4 3 2" xfId="15044" xr:uid="{00000000-0005-0000-0000-0000534B0000}"/>
    <cellStyle name="Normal 6 2 3 2 2 4 4" xfId="15045" xr:uid="{00000000-0005-0000-0000-0000544B0000}"/>
    <cellStyle name="Normal 6 2 3 2 2 5" xfId="15046" xr:uid="{00000000-0005-0000-0000-0000554B0000}"/>
    <cellStyle name="Normal 6 2 3 2 2 5 2" xfId="15047" xr:uid="{00000000-0005-0000-0000-0000564B0000}"/>
    <cellStyle name="Normal 6 2 3 2 2 5 2 2" xfId="15048" xr:uid="{00000000-0005-0000-0000-0000574B0000}"/>
    <cellStyle name="Normal 6 2 3 2 2 5 3" xfId="15049" xr:uid="{00000000-0005-0000-0000-0000584B0000}"/>
    <cellStyle name="Normal 6 2 3 2 2 6" xfId="15050" xr:uid="{00000000-0005-0000-0000-0000594B0000}"/>
    <cellStyle name="Normal 6 2 3 2 2 6 2" xfId="15051" xr:uid="{00000000-0005-0000-0000-00005A4B0000}"/>
    <cellStyle name="Normal 6 2 3 2 2 7" xfId="15052" xr:uid="{00000000-0005-0000-0000-00005B4B0000}"/>
    <cellStyle name="Normal 6 2 3 2 3" xfId="15053" xr:uid="{00000000-0005-0000-0000-00005C4B0000}"/>
    <cellStyle name="Normal 6 2 3 2 3 2" xfId="15054" xr:uid="{00000000-0005-0000-0000-00005D4B0000}"/>
    <cellStyle name="Normal 6 2 3 2 3 2 2" xfId="15055" xr:uid="{00000000-0005-0000-0000-00005E4B0000}"/>
    <cellStyle name="Normal 6 2 3 2 3 2 2 2" xfId="15056" xr:uid="{00000000-0005-0000-0000-00005F4B0000}"/>
    <cellStyle name="Normal 6 2 3 2 3 2 2 2 2" xfId="15057" xr:uid="{00000000-0005-0000-0000-0000604B0000}"/>
    <cellStyle name="Normal 6 2 3 2 3 2 2 2 2 2" xfId="15058" xr:uid="{00000000-0005-0000-0000-0000614B0000}"/>
    <cellStyle name="Normal 6 2 3 2 3 2 2 2 3" xfId="15059" xr:uid="{00000000-0005-0000-0000-0000624B0000}"/>
    <cellStyle name="Normal 6 2 3 2 3 2 2 3" xfId="15060" xr:uid="{00000000-0005-0000-0000-0000634B0000}"/>
    <cellStyle name="Normal 6 2 3 2 3 2 2 3 2" xfId="15061" xr:uid="{00000000-0005-0000-0000-0000644B0000}"/>
    <cellStyle name="Normal 6 2 3 2 3 2 2 4" xfId="15062" xr:uid="{00000000-0005-0000-0000-0000654B0000}"/>
    <cellStyle name="Normal 6 2 3 2 3 2 3" xfId="15063" xr:uid="{00000000-0005-0000-0000-0000664B0000}"/>
    <cellStyle name="Normal 6 2 3 2 3 2 3 2" xfId="15064" xr:uid="{00000000-0005-0000-0000-0000674B0000}"/>
    <cellStyle name="Normal 6 2 3 2 3 2 3 2 2" xfId="15065" xr:uid="{00000000-0005-0000-0000-0000684B0000}"/>
    <cellStyle name="Normal 6 2 3 2 3 2 3 3" xfId="15066" xr:uid="{00000000-0005-0000-0000-0000694B0000}"/>
    <cellStyle name="Normal 6 2 3 2 3 2 4" xfId="15067" xr:uid="{00000000-0005-0000-0000-00006A4B0000}"/>
    <cellStyle name="Normal 6 2 3 2 3 2 4 2" xfId="15068" xr:uid="{00000000-0005-0000-0000-00006B4B0000}"/>
    <cellStyle name="Normal 6 2 3 2 3 2 5" xfId="15069" xr:uid="{00000000-0005-0000-0000-00006C4B0000}"/>
    <cellStyle name="Normal 6 2 3 2 3 3" xfId="15070" xr:uid="{00000000-0005-0000-0000-00006D4B0000}"/>
    <cellStyle name="Normal 6 2 3 2 3 3 2" xfId="15071" xr:uid="{00000000-0005-0000-0000-00006E4B0000}"/>
    <cellStyle name="Normal 6 2 3 2 3 3 2 2" xfId="15072" xr:uid="{00000000-0005-0000-0000-00006F4B0000}"/>
    <cellStyle name="Normal 6 2 3 2 3 3 2 2 2" xfId="15073" xr:uid="{00000000-0005-0000-0000-0000704B0000}"/>
    <cellStyle name="Normal 6 2 3 2 3 3 2 3" xfId="15074" xr:uid="{00000000-0005-0000-0000-0000714B0000}"/>
    <cellStyle name="Normal 6 2 3 2 3 3 3" xfId="15075" xr:uid="{00000000-0005-0000-0000-0000724B0000}"/>
    <cellStyle name="Normal 6 2 3 2 3 3 3 2" xfId="15076" xr:uid="{00000000-0005-0000-0000-0000734B0000}"/>
    <cellStyle name="Normal 6 2 3 2 3 3 4" xfId="15077" xr:uid="{00000000-0005-0000-0000-0000744B0000}"/>
    <cellStyle name="Normal 6 2 3 2 3 4" xfId="15078" xr:uid="{00000000-0005-0000-0000-0000754B0000}"/>
    <cellStyle name="Normal 6 2 3 2 3 4 2" xfId="15079" xr:uid="{00000000-0005-0000-0000-0000764B0000}"/>
    <cellStyle name="Normal 6 2 3 2 3 4 2 2" xfId="15080" xr:uid="{00000000-0005-0000-0000-0000774B0000}"/>
    <cellStyle name="Normal 6 2 3 2 3 4 3" xfId="15081" xr:uid="{00000000-0005-0000-0000-0000784B0000}"/>
    <cellStyle name="Normal 6 2 3 2 3 5" xfId="15082" xr:uid="{00000000-0005-0000-0000-0000794B0000}"/>
    <cellStyle name="Normal 6 2 3 2 3 5 2" xfId="15083" xr:uid="{00000000-0005-0000-0000-00007A4B0000}"/>
    <cellStyle name="Normal 6 2 3 2 3 6" xfId="15084" xr:uid="{00000000-0005-0000-0000-00007B4B0000}"/>
    <cellStyle name="Normal 6 2 3 2 4" xfId="15085" xr:uid="{00000000-0005-0000-0000-00007C4B0000}"/>
    <cellStyle name="Normal 6 2 3 2 4 2" xfId="15086" xr:uid="{00000000-0005-0000-0000-00007D4B0000}"/>
    <cellStyle name="Normal 6 2 3 2 4 2 2" xfId="15087" xr:uid="{00000000-0005-0000-0000-00007E4B0000}"/>
    <cellStyle name="Normal 6 2 3 2 4 2 2 2" xfId="15088" xr:uid="{00000000-0005-0000-0000-00007F4B0000}"/>
    <cellStyle name="Normal 6 2 3 2 4 2 2 2 2" xfId="15089" xr:uid="{00000000-0005-0000-0000-0000804B0000}"/>
    <cellStyle name="Normal 6 2 3 2 4 2 2 3" xfId="15090" xr:uid="{00000000-0005-0000-0000-0000814B0000}"/>
    <cellStyle name="Normal 6 2 3 2 4 2 3" xfId="15091" xr:uid="{00000000-0005-0000-0000-0000824B0000}"/>
    <cellStyle name="Normal 6 2 3 2 4 2 3 2" xfId="15092" xr:uid="{00000000-0005-0000-0000-0000834B0000}"/>
    <cellStyle name="Normal 6 2 3 2 4 2 4" xfId="15093" xr:uid="{00000000-0005-0000-0000-0000844B0000}"/>
    <cellStyle name="Normal 6 2 3 2 4 3" xfId="15094" xr:uid="{00000000-0005-0000-0000-0000854B0000}"/>
    <cellStyle name="Normal 6 2 3 2 4 3 2" xfId="15095" xr:uid="{00000000-0005-0000-0000-0000864B0000}"/>
    <cellStyle name="Normal 6 2 3 2 4 3 2 2" xfId="15096" xr:uid="{00000000-0005-0000-0000-0000874B0000}"/>
    <cellStyle name="Normal 6 2 3 2 4 3 3" xfId="15097" xr:uid="{00000000-0005-0000-0000-0000884B0000}"/>
    <cellStyle name="Normal 6 2 3 2 4 4" xfId="15098" xr:uid="{00000000-0005-0000-0000-0000894B0000}"/>
    <cellStyle name="Normal 6 2 3 2 4 4 2" xfId="15099" xr:uid="{00000000-0005-0000-0000-00008A4B0000}"/>
    <cellStyle name="Normal 6 2 3 2 4 5" xfId="15100" xr:uid="{00000000-0005-0000-0000-00008B4B0000}"/>
    <cellStyle name="Normal 6 2 3 2 5" xfId="15101" xr:uid="{00000000-0005-0000-0000-00008C4B0000}"/>
    <cellStyle name="Normal 6 2 3 2 5 2" xfId="15102" xr:uid="{00000000-0005-0000-0000-00008D4B0000}"/>
    <cellStyle name="Normal 6 2 3 2 5 2 2" xfId="15103" xr:uid="{00000000-0005-0000-0000-00008E4B0000}"/>
    <cellStyle name="Normal 6 2 3 2 5 2 2 2" xfId="15104" xr:uid="{00000000-0005-0000-0000-00008F4B0000}"/>
    <cellStyle name="Normal 6 2 3 2 5 2 3" xfId="15105" xr:uid="{00000000-0005-0000-0000-0000904B0000}"/>
    <cellStyle name="Normal 6 2 3 2 5 3" xfId="15106" xr:uid="{00000000-0005-0000-0000-0000914B0000}"/>
    <cellStyle name="Normal 6 2 3 2 5 3 2" xfId="15107" xr:uid="{00000000-0005-0000-0000-0000924B0000}"/>
    <cellStyle name="Normal 6 2 3 2 5 4" xfId="15108" xr:uid="{00000000-0005-0000-0000-0000934B0000}"/>
    <cellStyle name="Normal 6 2 3 2 6" xfId="15109" xr:uid="{00000000-0005-0000-0000-0000944B0000}"/>
    <cellStyle name="Normal 6 2 3 2 6 2" xfId="15110" xr:uid="{00000000-0005-0000-0000-0000954B0000}"/>
    <cellStyle name="Normal 6 2 3 2 6 2 2" xfId="15111" xr:uid="{00000000-0005-0000-0000-0000964B0000}"/>
    <cellStyle name="Normal 6 2 3 2 6 3" xfId="15112" xr:uid="{00000000-0005-0000-0000-0000974B0000}"/>
    <cellStyle name="Normal 6 2 3 2 7" xfId="15113" xr:uid="{00000000-0005-0000-0000-0000984B0000}"/>
    <cellStyle name="Normal 6 2 3 2 7 2" xfId="15114" xr:uid="{00000000-0005-0000-0000-0000994B0000}"/>
    <cellStyle name="Normal 6 2 3 2 8" xfId="15115" xr:uid="{00000000-0005-0000-0000-00009A4B0000}"/>
    <cellStyle name="Normal 6 2 3 3" xfId="15116" xr:uid="{00000000-0005-0000-0000-00009B4B0000}"/>
    <cellStyle name="Normal 6 2 3 3 2" xfId="15117" xr:uid="{00000000-0005-0000-0000-00009C4B0000}"/>
    <cellStyle name="Normal 6 2 3 3 2 2" xfId="15118" xr:uid="{00000000-0005-0000-0000-00009D4B0000}"/>
    <cellStyle name="Normal 6 2 3 3 2 2 2" xfId="15119" xr:uid="{00000000-0005-0000-0000-00009E4B0000}"/>
    <cellStyle name="Normal 6 2 3 3 2 2 2 2" xfId="15120" xr:uid="{00000000-0005-0000-0000-00009F4B0000}"/>
    <cellStyle name="Normal 6 2 3 3 2 2 2 2 2" xfId="15121" xr:uid="{00000000-0005-0000-0000-0000A04B0000}"/>
    <cellStyle name="Normal 6 2 3 3 2 2 2 2 2 2" xfId="15122" xr:uid="{00000000-0005-0000-0000-0000A14B0000}"/>
    <cellStyle name="Normal 6 2 3 3 2 2 2 2 3" xfId="15123" xr:uid="{00000000-0005-0000-0000-0000A24B0000}"/>
    <cellStyle name="Normal 6 2 3 3 2 2 2 3" xfId="15124" xr:uid="{00000000-0005-0000-0000-0000A34B0000}"/>
    <cellStyle name="Normal 6 2 3 3 2 2 2 3 2" xfId="15125" xr:uid="{00000000-0005-0000-0000-0000A44B0000}"/>
    <cellStyle name="Normal 6 2 3 3 2 2 2 4" xfId="15126" xr:uid="{00000000-0005-0000-0000-0000A54B0000}"/>
    <cellStyle name="Normal 6 2 3 3 2 2 3" xfId="15127" xr:uid="{00000000-0005-0000-0000-0000A64B0000}"/>
    <cellStyle name="Normal 6 2 3 3 2 2 3 2" xfId="15128" xr:uid="{00000000-0005-0000-0000-0000A74B0000}"/>
    <cellStyle name="Normal 6 2 3 3 2 2 3 2 2" xfId="15129" xr:uid="{00000000-0005-0000-0000-0000A84B0000}"/>
    <cellStyle name="Normal 6 2 3 3 2 2 3 3" xfId="15130" xr:uid="{00000000-0005-0000-0000-0000A94B0000}"/>
    <cellStyle name="Normal 6 2 3 3 2 2 4" xfId="15131" xr:uid="{00000000-0005-0000-0000-0000AA4B0000}"/>
    <cellStyle name="Normal 6 2 3 3 2 2 4 2" xfId="15132" xr:uid="{00000000-0005-0000-0000-0000AB4B0000}"/>
    <cellStyle name="Normal 6 2 3 3 2 2 5" xfId="15133" xr:uid="{00000000-0005-0000-0000-0000AC4B0000}"/>
    <cellStyle name="Normal 6 2 3 3 2 3" xfId="15134" xr:uid="{00000000-0005-0000-0000-0000AD4B0000}"/>
    <cellStyle name="Normal 6 2 3 3 2 3 2" xfId="15135" xr:uid="{00000000-0005-0000-0000-0000AE4B0000}"/>
    <cellStyle name="Normal 6 2 3 3 2 3 2 2" xfId="15136" xr:uid="{00000000-0005-0000-0000-0000AF4B0000}"/>
    <cellStyle name="Normal 6 2 3 3 2 3 2 2 2" xfId="15137" xr:uid="{00000000-0005-0000-0000-0000B04B0000}"/>
    <cellStyle name="Normal 6 2 3 3 2 3 2 3" xfId="15138" xr:uid="{00000000-0005-0000-0000-0000B14B0000}"/>
    <cellStyle name="Normal 6 2 3 3 2 3 3" xfId="15139" xr:uid="{00000000-0005-0000-0000-0000B24B0000}"/>
    <cellStyle name="Normal 6 2 3 3 2 3 3 2" xfId="15140" xr:uid="{00000000-0005-0000-0000-0000B34B0000}"/>
    <cellStyle name="Normal 6 2 3 3 2 3 4" xfId="15141" xr:uid="{00000000-0005-0000-0000-0000B44B0000}"/>
    <cellStyle name="Normal 6 2 3 3 2 4" xfId="15142" xr:uid="{00000000-0005-0000-0000-0000B54B0000}"/>
    <cellStyle name="Normal 6 2 3 3 2 4 2" xfId="15143" xr:uid="{00000000-0005-0000-0000-0000B64B0000}"/>
    <cellStyle name="Normal 6 2 3 3 2 4 2 2" xfId="15144" xr:uid="{00000000-0005-0000-0000-0000B74B0000}"/>
    <cellStyle name="Normal 6 2 3 3 2 4 3" xfId="15145" xr:uid="{00000000-0005-0000-0000-0000B84B0000}"/>
    <cellStyle name="Normal 6 2 3 3 2 5" xfId="15146" xr:uid="{00000000-0005-0000-0000-0000B94B0000}"/>
    <cellStyle name="Normal 6 2 3 3 2 5 2" xfId="15147" xr:uid="{00000000-0005-0000-0000-0000BA4B0000}"/>
    <cellStyle name="Normal 6 2 3 3 2 6" xfId="15148" xr:uid="{00000000-0005-0000-0000-0000BB4B0000}"/>
    <cellStyle name="Normal 6 2 3 3 3" xfId="15149" xr:uid="{00000000-0005-0000-0000-0000BC4B0000}"/>
    <cellStyle name="Normal 6 2 3 3 3 2" xfId="15150" xr:uid="{00000000-0005-0000-0000-0000BD4B0000}"/>
    <cellStyle name="Normal 6 2 3 3 3 2 2" xfId="15151" xr:uid="{00000000-0005-0000-0000-0000BE4B0000}"/>
    <cellStyle name="Normal 6 2 3 3 3 2 2 2" xfId="15152" xr:uid="{00000000-0005-0000-0000-0000BF4B0000}"/>
    <cellStyle name="Normal 6 2 3 3 3 2 2 2 2" xfId="15153" xr:uid="{00000000-0005-0000-0000-0000C04B0000}"/>
    <cellStyle name="Normal 6 2 3 3 3 2 2 3" xfId="15154" xr:uid="{00000000-0005-0000-0000-0000C14B0000}"/>
    <cellStyle name="Normal 6 2 3 3 3 2 3" xfId="15155" xr:uid="{00000000-0005-0000-0000-0000C24B0000}"/>
    <cellStyle name="Normal 6 2 3 3 3 2 3 2" xfId="15156" xr:uid="{00000000-0005-0000-0000-0000C34B0000}"/>
    <cellStyle name="Normal 6 2 3 3 3 2 4" xfId="15157" xr:uid="{00000000-0005-0000-0000-0000C44B0000}"/>
    <cellStyle name="Normal 6 2 3 3 3 3" xfId="15158" xr:uid="{00000000-0005-0000-0000-0000C54B0000}"/>
    <cellStyle name="Normal 6 2 3 3 3 3 2" xfId="15159" xr:uid="{00000000-0005-0000-0000-0000C64B0000}"/>
    <cellStyle name="Normal 6 2 3 3 3 3 2 2" xfId="15160" xr:uid="{00000000-0005-0000-0000-0000C74B0000}"/>
    <cellStyle name="Normal 6 2 3 3 3 3 3" xfId="15161" xr:uid="{00000000-0005-0000-0000-0000C84B0000}"/>
    <cellStyle name="Normal 6 2 3 3 3 4" xfId="15162" xr:uid="{00000000-0005-0000-0000-0000C94B0000}"/>
    <cellStyle name="Normal 6 2 3 3 3 4 2" xfId="15163" xr:uid="{00000000-0005-0000-0000-0000CA4B0000}"/>
    <cellStyle name="Normal 6 2 3 3 3 5" xfId="15164" xr:uid="{00000000-0005-0000-0000-0000CB4B0000}"/>
    <cellStyle name="Normal 6 2 3 3 4" xfId="15165" xr:uid="{00000000-0005-0000-0000-0000CC4B0000}"/>
    <cellStyle name="Normal 6 2 3 3 4 2" xfId="15166" xr:uid="{00000000-0005-0000-0000-0000CD4B0000}"/>
    <cellStyle name="Normal 6 2 3 3 4 2 2" xfId="15167" xr:uid="{00000000-0005-0000-0000-0000CE4B0000}"/>
    <cellStyle name="Normal 6 2 3 3 4 2 2 2" xfId="15168" xr:uid="{00000000-0005-0000-0000-0000CF4B0000}"/>
    <cellStyle name="Normal 6 2 3 3 4 2 3" xfId="15169" xr:uid="{00000000-0005-0000-0000-0000D04B0000}"/>
    <cellStyle name="Normal 6 2 3 3 4 3" xfId="15170" xr:uid="{00000000-0005-0000-0000-0000D14B0000}"/>
    <cellStyle name="Normal 6 2 3 3 4 3 2" xfId="15171" xr:uid="{00000000-0005-0000-0000-0000D24B0000}"/>
    <cellStyle name="Normal 6 2 3 3 4 4" xfId="15172" xr:uid="{00000000-0005-0000-0000-0000D34B0000}"/>
    <cellStyle name="Normal 6 2 3 3 5" xfId="15173" xr:uid="{00000000-0005-0000-0000-0000D44B0000}"/>
    <cellStyle name="Normal 6 2 3 3 5 2" xfId="15174" xr:uid="{00000000-0005-0000-0000-0000D54B0000}"/>
    <cellStyle name="Normal 6 2 3 3 5 2 2" xfId="15175" xr:uid="{00000000-0005-0000-0000-0000D64B0000}"/>
    <cellStyle name="Normal 6 2 3 3 5 3" xfId="15176" xr:uid="{00000000-0005-0000-0000-0000D74B0000}"/>
    <cellStyle name="Normal 6 2 3 3 6" xfId="15177" xr:uid="{00000000-0005-0000-0000-0000D84B0000}"/>
    <cellStyle name="Normal 6 2 3 3 6 2" xfId="15178" xr:uid="{00000000-0005-0000-0000-0000D94B0000}"/>
    <cellStyle name="Normal 6 2 3 3 7" xfId="15179" xr:uid="{00000000-0005-0000-0000-0000DA4B0000}"/>
    <cellStyle name="Normal 6 2 3 4" xfId="15180" xr:uid="{00000000-0005-0000-0000-0000DB4B0000}"/>
    <cellStyle name="Normal 6 2 3 4 2" xfId="15181" xr:uid="{00000000-0005-0000-0000-0000DC4B0000}"/>
    <cellStyle name="Normal 6 2 3 4 2 2" xfId="15182" xr:uid="{00000000-0005-0000-0000-0000DD4B0000}"/>
    <cellStyle name="Normal 6 2 3 4 2 2 2" xfId="15183" xr:uid="{00000000-0005-0000-0000-0000DE4B0000}"/>
    <cellStyle name="Normal 6 2 3 4 2 2 2 2" xfId="15184" xr:uid="{00000000-0005-0000-0000-0000DF4B0000}"/>
    <cellStyle name="Normal 6 2 3 4 2 2 2 2 2" xfId="15185" xr:uid="{00000000-0005-0000-0000-0000E04B0000}"/>
    <cellStyle name="Normal 6 2 3 4 2 2 2 3" xfId="15186" xr:uid="{00000000-0005-0000-0000-0000E14B0000}"/>
    <cellStyle name="Normal 6 2 3 4 2 2 3" xfId="15187" xr:uid="{00000000-0005-0000-0000-0000E24B0000}"/>
    <cellStyle name="Normal 6 2 3 4 2 2 3 2" xfId="15188" xr:uid="{00000000-0005-0000-0000-0000E34B0000}"/>
    <cellStyle name="Normal 6 2 3 4 2 2 4" xfId="15189" xr:uid="{00000000-0005-0000-0000-0000E44B0000}"/>
    <cellStyle name="Normal 6 2 3 4 2 3" xfId="15190" xr:uid="{00000000-0005-0000-0000-0000E54B0000}"/>
    <cellStyle name="Normal 6 2 3 4 2 3 2" xfId="15191" xr:uid="{00000000-0005-0000-0000-0000E64B0000}"/>
    <cellStyle name="Normal 6 2 3 4 2 3 2 2" xfId="15192" xr:uid="{00000000-0005-0000-0000-0000E74B0000}"/>
    <cellStyle name="Normal 6 2 3 4 2 3 3" xfId="15193" xr:uid="{00000000-0005-0000-0000-0000E84B0000}"/>
    <cellStyle name="Normal 6 2 3 4 2 4" xfId="15194" xr:uid="{00000000-0005-0000-0000-0000E94B0000}"/>
    <cellStyle name="Normal 6 2 3 4 2 4 2" xfId="15195" xr:uid="{00000000-0005-0000-0000-0000EA4B0000}"/>
    <cellStyle name="Normal 6 2 3 4 2 5" xfId="15196" xr:uid="{00000000-0005-0000-0000-0000EB4B0000}"/>
    <cellStyle name="Normal 6 2 3 4 3" xfId="15197" xr:uid="{00000000-0005-0000-0000-0000EC4B0000}"/>
    <cellStyle name="Normal 6 2 3 4 3 2" xfId="15198" xr:uid="{00000000-0005-0000-0000-0000ED4B0000}"/>
    <cellStyle name="Normal 6 2 3 4 3 2 2" xfId="15199" xr:uid="{00000000-0005-0000-0000-0000EE4B0000}"/>
    <cellStyle name="Normal 6 2 3 4 3 2 2 2" xfId="15200" xr:uid="{00000000-0005-0000-0000-0000EF4B0000}"/>
    <cellStyle name="Normal 6 2 3 4 3 2 3" xfId="15201" xr:uid="{00000000-0005-0000-0000-0000F04B0000}"/>
    <cellStyle name="Normal 6 2 3 4 3 3" xfId="15202" xr:uid="{00000000-0005-0000-0000-0000F14B0000}"/>
    <cellStyle name="Normal 6 2 3 4 3 3 2" xfId="15203" xr:uid="{00000000-0005-0000-0000-0000F24B0000}"/>
    <cellStyle name="Normal 6 2 3 4 3 4" xfId="15204" xr:uid="{00000000-0005-0000-0000-0000F34B0000}"/>
    <cellStyle name="Normal 6 2 3 4 4" xfId="15205" xr:uid="{00000000-0005-0000-0000-0000F44B0000}"/>
    <cellStyle name="Normal 6 2 3 4 4 2" xfId="15206" xr:uid="{00000000-0005-0000-0000-0000F54B0000}"/>
    <cellStyle name="Normal 6 2 3 4 4 2 2" xfId="15207" xr:uid="{00000000-0005-0000-0000-0000F64B0000}"/>
    <cellStyle name="Normal 6 2 3 4 4 3" xfId="15208" xr:uid="{00000000-0005-0000-0000-0000F74B0000}"/>
    <cellStyle name="Normal 6 2 3 4 5" xfId="15209" xr:uid="{00000000-0005-0000-0000-0000F84B0000}"/>
    <cellStyle name="Normal 6 2 3 4 5 2" xfId="15210" xr:uid="{00000000-0005-0000-0000-0000F94B0000}"/>
    <cellStyle name="Normal 6 2 3 4 6" xfId="15211" xr:uid="{00000000-0005-0000-0000-0000FA4B0000}"/>
    <cellStyle name="Normal 6 2 3 5" xfId="15212" xr:uid="{00000000-0005-0000-0000-0000FB4B0000}"/>
    <cellStyle name="Normal 6 2 3 5 2" xfId="15213" xr:uid="{00000000-0005-0000-0000-0000FC4B0000}"/>
    <cellStyle name="Normal 6 2 3 5 2 2" xfId="15214" xr:uid="{00000000-0005-0000-0000-0000FD4B0000}"/>
    <cellStyle name="Normal 6 2 3 5 2 2 2" xfId="15215" xr:uid="{00000000-0005-0000-0000-0000FE4B0000}"/>
    <cellStyle name="Normal 6 2 3 5 2 2 2 2" xfId="15216" xr:uid="{00000000-0005-0000-0000-0000FF4B0000}"/>
    <cellStyle name="Normal 6 2 3 5 2 2 3" xfId="15217" xr:uid="{00000000-0005-0000-0000-0000004C0000}"/>
    <cellStyle name="Normal 6 2 3 5 2 3" xfId="15218" xr:uid="{00000000-0005-0000-0000-0000014C0000}"/>
    <cellStyle name="Normal 6 2 3 5 2 3 2" xfId="15219" xr:uid="{00000000-0005-0000-0000-0000024C0000}"/>
    <cellStyle name="Normal 6 2 3 5 2 4" xfId="15220" xr:uid="{00000000-0005-0000-0000-0000034C0000}"/>
    <cellStyle name="Normal 6 2 3 5 3" xfId="15221" xr:uid="{00000000-0005-0000-0000-0000044C0000}"/>
    <cellStyle name="Normal 6 2 3 5 3 2" xfId="15222" xr:uid="{00000000-0005-0000-0000-0000054C0000}"/>
    <cellStyle name="Normal 6 2 3 5 3 2 2" xfId="15223" xr:uid="{00000000-0005-0000-0000-0000064C0000}"/>
    <cellStyle name="Normal 6 2 3 5 3 3" xfId="15224" xr:uid="{00000000-0005-0000-0000-0000074C0000}"/>
    <cellStyle name="Normal 6 2 3 5 4" xfId="15225" xr:uid="{00000000-0005-0000-0000-0000084C0000}"/>
    <cellStyle name="Normal 6 2 3 5 4 2" xfId="15226" xr:uid="{00000000-0005-0000-0000-0000094C0000}"/>
    <cellStyle name="Normal 6 2 3 5 5" xfId="15227" xr:uid="{00000000-0005-0000-0000-00000A4C0000}"/>
    <cellStyle name="Normal 6 2 3 6" xfId="15228" xr:uid="{00000000-0005-0000-0000-00000B4C0000}"/>
    <cellStyle name="Normal 6 2 3 6 2" xfId="15229" xr:uid="{00000000-0005-0000-0000-00000C4C0000}"/>
    <cellStyle name="Normal 6 2 3 6 2 2" xfId="15230" xr:uid="{00000000-0005-0000-0000-00000D4C0000}"/>
    <cellStyle name="Normal 6 2 3 6 2 2 2" xfId="15231" xr:uid="{00000000-0005-0000-0000-00000E4C0000}"/>
    <cellStyle name="Normal 6 2 3 6 2 3" xfId="15232" xr:uid="{00000000-0005-0000-0000-00000F4C0000}"/>
    <cellStyle name="Normal 6 2 3 6 3" xfId="15233" xr:uid="{00000000-0005-0000-0000-0000104C0000}"/>
    <cellStyle name="Normal 6 2 3 6 3 2" xfId="15234" xr:uid="{00000000-0005-0000-0000-0000114C0000}"/>
    <cellStyle name="Normal 6 2 3 6 4" xfId="15235" xr:uid="{00000000-0005-0000-0000-0000124C0000}"/>
    <cellStyle name="Normal 6 2 3 7" xfId="15236" xr:uid="{00000000-0005-0000-0000-0000134C0000}"/>
    <cellStyle name="Normal 6 2 3 7 2" xfId="15237" xr:uid="{00000000-0005-0000-0000-0000144C0000}"/>
    <cellStyle name="Normal 6 2 3 7 2 2" xfId="15238" xr:uid="{00000000-0005-0000-0000-0000154C0000}"/>
    <cellStyle name="Normal 6 2 3 7 3" xfId="15239" xr:uid="{00000000-0005-0000-0000-0000164C0000}"/>
    <cellStyle name="Normal 6 2 3 8" xfId="15240" xr:uid="{00000000-0005-0000-0000-0000174C0000}"/>
    <cellStyle name="Normal 6 2 3 8 2" xfId="15241" xr:uid="{00000000-0005-0000-0000-0000184C0000}"/>
    <cellStyle name="Normal 6 2 3 9" xfId="15242" xr:uid="{00000000-0005-0000-0000-0000194C0000}"/>
    <cellStyle name="Normal 6 2 4" xfId="15243" xr:uid="{00000000-0005-0000-0000-00001A4C0000}"/>
    <cellStyle name="Normal 6 2 4 2" xfId="15244" xr:uid="{00000000-0005-0000-0000-00001B4C0000}"/>
    <cellStyle name="Normal 6 2 4 2 2" xfId="15245" xr:uid="{00000000-0005-0000-0000-00001C4C0000}"/>
    <cellStyle name="Normal 6 2 4 2 2 2" xfId="15246" xr:uid="{00000000-0005-0000-0000-00001D4C0000}"/>
    <cellStyle name="Normal 6 2 4 2 2 2 2" xfId="15247" xr:uid="{00000000-0005-0000-0000-00001E4C0000}"/>
    <cellStyle name="Normal 6 2 4 2 2 2 2 2" xfId="15248" xr:uid="{00000000-0005-0000-0000-00001F4C0000}"/>
    <cellStyle name="Normal 6 2 4 2 2 2 2 2 2" xfId="15249" xr:uid="{00000000-0005-0000-0000-0000204C0000}"/>
    <cellStyle name="Normal 6 2 4 2 2 2 2 2 2 2" xfId="15250" xr:uid="{00000000-0005-0000-0000-0000214C0000}"/>
    <cellStyle name="Normal 6 2 4 2 2 2 2 2 3" xfId="15251" xr:uid="{00000000-0005-0000-0000-0000224C0000}"/>
    <cellStyle name="Normal 6 2 4 2 2 2 2 3" xfId="15252" xr:uid="{00000000-0005-0000-0000-0000234C0000}"/>
    <cellStyle name="Normal 6 2 4 2 2 2 2 3 2" xfId="15253" xr:uid="{00000000-0005-0000-0000-0000244C0000}"/>
    <cellStyle name="Normal 6 2 4 2 2 2 2 4" xfId="15254" xr:uid="{00000000-0005-0000-0000-0000254C0000}"/>
    <cellStyle name="Normal 6 2 4 2 2 2 3" xfId="15255" xr:uid="{00000000-0005-0000-0000-0000264C0000}"/>
    <cellStyle name="Normal 6 2 4 2 2 2 3 2" xfId="15256" xr:uid="{00000000-0005-0000-0000-0000274C0000}"/>
    <cellStyle name="Normal 6 2 4 2 2 2 3 2 2" xfId="15257" xr:uid="{00000000-0005-0000-0000-0000284C0000}"/>
    <cellStyle name="Normal 6 2 4 2 2 2 3 3" xfId="15258" xr:uid="{00000000-0005-0000-0000-0000294C0000}"/>
    <cellStyle name="Normal 6 2 4 2 2 2 4" xfId="15259" xr:uid="{00000000-0005-0000-0000-00002A4C0000}"/>
    <cellStyle name="Normal 6 2 4 2 2 2 4 2" xfId="15260" xr:uid="{00000000-0005-0000-0000-00002B4C0000}"/>
    <cellStyle name="Normal 6 2 4 2 2 2 5" xfId="15261" xr:uid="{00000000-0005-0000-0000-00002C4C0000}"/>
    <cellStyle name="Normal 6 2 4 2 2 3" xfId="15262" xr:uid="{00000000-0005-0000-0000-00002D4C0000}"/>
    <cellStyle name="Normal 6 2 4 2 2 3 2" xfId="15263" xr:uid="{00000000-0005-0000-0000-00002E4C0000}"/>
    <cellStyle name="Normal 6 2 4 2 2 3 2 2" xfId="15264" xr:uid="{00000000-0005-0000-0000-00002F4C0000}"/>
    <cellStyle name="Normal 6 2 4 2 2 3 2 2 2" xfId="15265" xr:uid="{00000000-0005-0000-0000-0000304C0000}"/>
    <cellStyle name="Normal 6 2 4 2 2 3 2 3" xfId="15266" xr:uid="{00000000-0005-0000-0000-0000314C0000}"/>
    <cellStyle name="Normal 6 2 4 2 2 3 3" xfId="15267" xr:uid="{00000000-0005-0000-0000-0000324C0000}"/>
    <cellStyle name="Normal 6 2 4 2 2 3 3 2" xfId="15268" xr:uid="{00000000-0005-0000-0000-0000334C0000}"/>
    <cellStyle name="Normal 6 2 4 2 2 3 4" xfId="15269" xr:uid="{00000000-0005-0000-0000-0000344C0000}"/>
    <cellStyle name="Normal 6 2 4 2 2 4" xfId="15270" xr:uid="{00000000-0005-0000-0000-0000354C0000}"/>
    <cellStyle name="Normal 6 2 4 2 2 4 2" xfId="15271" xr:uid="{00000000-0005-0000-0000-0000364C0000}"/>
    <cellStyle name="Normal 6 2 4 2 2 4 2 2" xfId="15272" xr:uid="{00000000-0005-0000-0000-0000374C0000}"/>
    <cellStyle name="Normal 6 2 4 2 2 4 3" xfId="15273" xr:uid="{00000000-0005-0000-0000-0000384C0000}"/>
    <cellStyle name="Normal 6 2 4 2 2 5" xfId="15274" xr:uid="{00000000-0005-0000-0000-0000394C0000}"/>
    <cellStyle name="Normal 6 2 4 2 2 5 2" xfId="15275" xr:uid="{00000000-0005-0000-0000-00003A4C0000}"/>
    <cellStyle name="Normal 6 2 4 2 2 6" xfId="15276" xr:uid="{00000000-0005-0000-0000-00003B4C0000}"/>
    <cellStyle name="Normal 6 2 4 2 3" xfId="15277" xr:uid="{00000000-0005-0000-0000-00003C4C0000}"/>
    <cellStyle name="Normal 6 2 4 2 3 2" xfId="15278" xr:uid="{00000000-0005-0000-0000-00003D4C0000}"/>
    <cellStyle name="Normal 6 2 4 2 3 2 2" xfId="15279" xr:uid="{00000000-0005-0000-0000-00003E4C0000}"/>
    <cellStyle name="Normal 6 2 4 2 3 2 2 2" xfId="15280" xr:uid="{00000000-0005-0000-0000-00003F4C0000}"/>
    <cellStyle name="Normal 6 2 4 2 3 2 2 2 2" xfId="15281" xr:uid="{00000000-0005-0000-0000-0000404C0000}"/>
    <cellStyle name="Normal 6 2 4 2 3 2 2 3" xfId="15282" xr:uid="{00000000-0005-0000-0000-0000414C0000}"/>
    <cellStyle name="Normal 6 2 4 2 3 2 3" xfId="15283" xr:uid="{00000000-0005-0000-0000-0000424C0000}"/>
    <cellStyle name="Normal 6 2 4 2 3 2 3 2" xfId="15284" xr:uid="{00000000-0005-0000-0000-0000434C0000}"/>
    <cellStyle name="Normal 6 2 4 2 3 2 4" xfId="15285" xr:uid="{00000000-0005-0000-0000-0000444C0000}"/>
    <cellStyle name="Normal 6 2 4 2 3 3" xfId="15286" xr:uid="{00000000-0005-0000-0000-0000454C0000}"/>
    <cellStyle name="Normal 6 2 4 2 3 3 2" xfId="15287" xr:uid="{00000000-0005-0000-0000-0000464C0000}"/>
    <cellStyle name="Normal 6 2 4 2 3 3 2 2" xfId="15288" xr:uid="{00000000-0005-0000-0000-0000474C0000}"/>
    <cellStyle name="Normal 6 2 4 2 3 3 3" xfId="15289" xr:uid="{00000000-0005-0000-0000-0000484C0000}"/>
    <cellStyle name="Normal 6 2 4 2 3 4" xfId="15290" xr:uid="{00000000-0005-0000-0000-0000494C0000}"/>
    <cellStyle name="Normal 6 2 4 2 3 4 2" xfId="15291" xr:uid="{00000000-0005-0000-0000-00004A4C0000}"/>
    <cellStyle name="Normal 6 2 4 2 3 5" xfId="15292" xr:uid="{00000000-0005-0000-0000-00004B4C0000}"/>
    <cellStyle name="Normal 6 2 4 2 4" xfId="15293" xr:uid="{00000000-0005-0000-0000-00004C4C0000}"/>
    <cellStyle name="Normal 6 2 4 2 4 2" xfId="15294" xr:uid="{00000000-0005-0000-0000-00004D4C0000}"/>
    <cellStyle name="Normal 6 2 4 2 4 2 2" xfId="15295" xr:uid="{00000000-0005-0000-0000-00004E4C0000}"/>
    <cellStyle name="Normal 6 2 4 2 4 2 2 2" xfId="15296" xr:uid="{00000000-0005-0000-0000-00004F4C0000}"/>
    <cellStyle name="Normal 6 2 4 2 4 2 3" xfId="15297" xr:uid="{00000000-0005-0000-0000-0000504C0000}"/>
    <cellStyle name="Normal 6 2 4 2 4 3" xfId="15298" xr:uid="{00000000-0005-0000-0000-0000514C0000}"/>
    <cellStyle name="Normal 6 2 4 2 4 3 2" xfId="15299" xr:uid="{00000000-0005-0000-0000-0000524C0000}"/>
    <cellStyle name="Normal 6 2 4 2 4 4" xfId="15300" xr:uid="{00000000-0005-0000-0000-0000534C0000}"/>
    <cellStyle name="Normal 6 2 4 2 5" xfId="15301" xr:uid="{00000000-0005-0000-0000-0000544C0000}"/>
    <cellStyle name="Normal 6 2 4 2 5 2" xfId="15302" xr:uid="{00000000-0005-0000-0000-0000554C0000}"/>
    <cellStyle name="Normal 6 2 4 2 5 2 2" xfId="15303" xr:uid="{00000000-0005-0000-0000-0000564C0000}"/>
    <cellStyle name="Normal 6 2 4 2 5 3" xfId="15304" xr:uid="{00000000-0005-0000-0000-0000574C0000}"/>
    <cellStyle name="Normal 6 2 4 2 6" xfId="15305" xr:uid="{00000000-0005-0000-0000-0000584C0000}"/>
    <cellStyle name="Normal 6 2 4 2 6 2" xfId="15306" xr:uid="{00000000-0005-0000-0000-0000594C0000}"/>
    <cellStyle name="Normal 6 2 4 2 7" xfId="15307" xr:uid="{00000000-0005-0000-0000-00005A4C0000}"/>
    <cellStyle name="Normal 6 2 4 3" xfId="15308" xr:uid="{00000000-0005-0000-0000-00005B4C0000}"/>
    <cellStyle name="Normal 6 2 4 3 2" xfId="15309" xr:uid="{00000000-0005-0000-0000-00005C4C0000}"/>
    <cellStyle name="Normal 6 2 4 3 2 2" xfId="15310" xr:uid="{00000000-0005-0000-0000-00005D4C0000}"/>
    <cellStyle name="Normal 6 2 4 3 2 2 2" xfId="15311" xr:uid="{00000000-0005-0000-0000-00005E4C0000}"/>
    <cellStyle name="Normal 6 2 4 3 2 2 2 2" xfId="15312" xr:uid="{00000000-0005-0000-0000-00005F4C0000}"/>
    <cellStyle name="Normal 6 2 4 3 2 2 2 2 2" xfId="15313" xr:uid="{00000000-0005-0000-0000-0000604C0000}"/>
    <cellStyle name="Normal 6 2 4 3 2 2 2 3" xfId="15314" xr:uid="{00000000-0005-0000-0000-0000614C0000}"/>
    <cellStyle name="Normal 6 2 4 3 2 2 3" xfId="15315" xr:uid="{00000000-0005-0000-0000-0000624C0000}"/>
    <cellStyle name="Normal 6 2 4 3 2 2 3 2" xfId="15316" xr:uid="{00000000-0005-0000-0000-0000634C0000}"/>
    <cellStyle name="Normal 6 2 4 3 2 2 4" xfId="15317" xr:uid="{00000000-0005-0000-0000-0000644C0000}"/>
    <cellStyle name="Normal 6 2 4 3 2 3" xfId="15318" xr:uid="{00000000-0005-0000-0000-0000654C0000}"/>
    <cellStyle name="Normal 6 2 4 3 2 3 2" xfId="15319" xr:uid="{00000000-0005-0000-0000-0000664C0000}"/>
    <cellStyle name="Normal 6 2 4 3 2 3 2 2" xfId="15320" xr:uid="{00000000-0005-0000-0000-0000674C0000}"/>
    <cellStyle name="Normal 6 2 4 3 2 3 3" xfId="15321" xr:uid="{00000000-0005-0000-0000-0000684C0000}"/>
    <cellStyle name="Normal 6 2 4 3 2 4" xfId="15322" xr:uid="{00000000-0005-0000-0000-0000694C0000}"/>
    <cellStyle name="Normal 6 2 4 3 2 4 2" xfId="15323" xr:uid="{00000000-0005-0000-0000-00006A4C0000}"/>
    <cellStyle name="Normal 6 2 4 3 2 5" xfId="15324" xr:uid="{00000000-0005-0000-0000-00006B4C0000}"/>
    <cellStyle name="Normal 6 2 4 3 3" xfId="15325" xr:uid="{00000000-0005-0000-0000-00006C4C0000}"/>
    <cellStyle name="Normal 6 2 4 3 3 2" xfId="15326" xr:uid="{00000000-0005-0000-0000-00006D4C0000}"/>
    <cellStyle name="Normal 6 2 4 3 3 2 2" xfId="15327" xr:uid="{00000000-0005-0000-0000-00006E4C0000}"/>
    <cellStyle name="Normal 6 2 4 3 3 2 2 2" xfId="15328" xr:uid="{00000000-0005-0000-0000-00006F4C0000}"/>
    <cellStyle name="Normal 6 2 4 3 3 2 3" xfId="15329" xr:uid="{00000000-0005-0000-0000-0000704C0000}"/>
    <cellStyle name="Normal 6 2 4 3 3 3" xfId="15330" xr:uid="{00000000-0005-0000-0000-0000714C0000}"/>
    <cellStyle name="Normal 6 2 4 3 3 3 2" xfId="15331" xr:uid="{00000000-0005-0000-0000-0000724C0000}"/>
    <cellStyle name="Normal 6 2 4 3 3 4" xfId="15332" xr:uid="{00000000-0005-0000-0000-0000734C0000}"/>
    <cellStyle name="Normal 6 2 4 3 4" xfId="15333" xr:uid="{00000000-0005-0000-0000-0000744C0000}"/>
    <cellStyle name="Normal 6 2 4 3 4 2" xfId="15334" xr:uid="{00000000-0005-0000-0000-0000754C0000}"/>
    <cellStyle name="Normal 6 2 4 3 4 2 2" xfId="15335" xr:uid="{00000000-0005-0000-0000-0000764C0000}"/>
    <cellStyle name="Normal 6 2 4 3 4 3" xfId="15336" xr:uid="{00000000-0005-0000-0000-0000774C0000}"/>
    <cellStyle name="Normal 6 2 4 3 5" xfId="15337" xr:uid="{00000000-0005-0000-0000-0000784C0000}"/>
    <cellStyle name="Normal 6 2 4 3 5 2" xfId="15338" xr:uid="{00000000-0005-0000-0000-0000794C0000}"/>
    <cellStyle name="Normal 6 2 4 3 6" xfId="15339" xr:uid="{00000000-0005-0000-0000-00007A4C0000}"/>
    <cellStyle name="Normal 6 2 4 4" xfId="15340" xr:uid="{00000000-0005-0000-0000-00007B4C0000}"/>
    <cellStyle name="Normal 6 2 4 4 2" xfId="15341" xr:uid="{00000000-0005-0000-0000-00007C4C0000}"/>
    <cellStyle name="Normal 6 2 4 4 2 2" xfId="15342" xr:uid="{00000000-0005-0000-0000-00007D4C0000}"/>
    <cellStyle name="Normal 6 2 4 4 2 2 2" xfId="15343" xr:uid="{00000000-0005-0000-0000-00007E4C0000}"/>
    <cellStyle name="Normal 6 2 4 4 2 2 2 2" xfId="15344" xr:uid="{00000000-0005-0000-0000-00007F4C0000}"/>
    <cellStyle name="Normal 6 2 4 4 2 2 3" xfId="15345" xr:uid="{00000000-0005-0000-0000-0000804C0000}"/>
    <cellStyle name="Normal 6 2 4 4 2 3" xfId="15346" xr:uid="{00000000-0005-0000-0000-0000814C0000}"/>
    <cellStyle name="Normal 6 2 4 4 2 3 2" xfId="15347" xr:uid="{00000000-0005-0000-0000-0000824C0000}"/>
    <cellStyle name="Normal 6 2 4 4 2 4" xfId="15348" xr:uid="{00000000-0005-0000-0000-0000834C0000}"/>
    <cellStyle name="Normal 6 2 4 4 3" xfId="15349" xr:uid="{00000000-0005-0000-0000-0000844C0000}"/>
    <cellStyle name="Normal 6 2 4 4 3 2" xfId="15350" xr:uid="{00000000-0005-0000-0000-0000854C0000}"/>
    <cellStyle name="Normal 6 2 4 4 3 2 2" xfId="15351" xr:uid="{00000000-0005-0000-0000-0000864C0000}"/>
    <cellStyle name="Normal 6 2 4 4 3 3" xfId="15352" xr:uid="{00000000-0005-0000-0000-0000874C0000}"/>
    <cellStyle name="Normal 6 2 4 4 4" xfId="15353" xr:uid="{00000000-0005-0000-0000-0000884C0000}"/>
    <cellStyle name="Normal 6 2 4 4 4 2" xfId="15354" xr:uid="{00000000-0005-0000-0000-0000894C0000}"/>
    <cellStyle name="Normal 6 2 4 4 5" xfId="15355" xr:uid="{00000000-0005-0000-0000-00008A4C0000}"/>
    <cellStyle name="Normal 6 2 4 5" xfId="15356" xr:uid="{00000000-0005-0000-0000-00008B4C0000}"/>
    <cellStyle name="Normal 6 2 4 5 2" xfId="15357" xr:uid="{00000000-0005-0000-0000-00008C4C0000}"/>
    <cellStyle name="Normal 6 2 4 5 2 2" xfId="15358" xr:uid="{00000000-0005-0000-0000-00008D4C0000}"/>
    <cellStyle name="Normal 6 2 4 5 2 2 2" xfId="15359" xr:uid="{00000000-0005-0000-0000-00008E4C0000}"/>
    <cellStyle name="Normal 6 2 4 5 2 3" xfId="15360" xr:uid="{00000000-0005-0000-0000-00008F4C0000}"/>
    <cellStyle name="Normal 6 2 4 5 3" xfId="15361" xr:uid="{00000000-0005-0000-0000-0000904C0000}"/>
    <cellStyle name="Normal 6 2 4 5 3 2" xfId="15362" xr:uid="{00000000-0005-0000-0000-0000914C0000}"/>
    <cellStyle name="Normal 6 2 4 5 4" xfId="15363" xr:uid="{00000000-0005-0000-0000-0000924C0000}"/>
    <cellStyle name="Normal 6 2 4 6" xfId="15364" xr:uid="{00000000-0005-0000-0000-0000934C0000}"/>
    <cellStyle name="Normal 6 2 4 6 2" xfId="15365" xr:uid="{00000000-0005-0000-0000-0000944C0000}"/>
    <cellStyle name="Normal 6 2 4 6 2 2" xfId="15366" xr:uid="{00000000-0005-0000-0000-0000954C0000}"/>
    <cellStyle name="Normal 6 2 4 6 3" xfId="15367" xr:uid="{00000000-0005-0000-0000-0000964C0000}"/>
    <cellStyle name="Normal 6 2 4 7" xfId="15368" xr:uid="{00000000-0005-0000-0000-0000974C0000}"/>
    <cellStyle name="Normal 6 2 4 7 2" xfId="15369" xr:uid="{00000000-0005-0000-0000-0000984C0000}"/>
    <cellStyle name="Normal 6 2 4 8" xfId="15370" xr:uid="{00000000-0005-0000-0000-0000994C0000}"/>
    <cellStyle name="Normal 6 2 5" xfId="15371" xr:uid="{00000000-0005-0000-0000-00009A4C0000}"/>
    <cellStyle name="Normal 6 2 5 2" xfId="15372" xr:uid="{00000000-0005-0000-0000-00009B4C0000}"/>
    <cellStyle name="Normal 6 2 5 2 2" xfId="15373" xr:uid="{00000000-0005-0000-0000-00009C4C0000}"/>
    <cellStyle name="Normal 6 2 5 2 2 2" xfId="15374" xr:uid="{00000000-0005-0000-0000-00009D4C0000}"/>
    <cellStyle name="Normal 6 2 5 2 2 2 2" xfId="15375" xr:uid="{00000000-0005-0000-0000-00009E4C0000}"/>
    <cellStyle name="Normal 6 2 5 2 2 2 2 2" xfId="15376" xr:uid="{00000000-0005-0000-0000-00009F4C0000}"/>
    <cellStyle name="Normal 6 2 5 2 2 2 2 2 2" xfId="15377" xr:uid="{00000000-0005-0000-0000-0000A04C0000}"/>
    <cellStyle name="Normal 6 2 5 2 2 2 2 3" xfId="15378" xr:uid="{00000000-0005-0000-0000-0000A14C0000}"/>
    <cellStyle name="Normal 6 2 5 2 2 2 3" xfId="15379" xr:uid="{00000000-0005-0000-0000-0000A24C0000}"/>
    <cellStyle name="Normal 6 2 5 2 2 2 3 2" xfId="15380" xr:uid="{00000000-0005-0000-0000-0000A34C0000}"/>
    <cellStyle name="Normal 6 2 5 2 2 2 4" xfId="15381" xr:uid="{00000000-0005-0000-0000-0000A44C0000}"/>
    <cellStyle name="Normal 6 2 5 2 2 3" xfId="15382" xr:uid="{00000000-0005-0000-0000-0000A54C0000}"/>
    <cellStyle name="Normal 6 2 5 2 2 3 2" xfId="15383" xr:uid="{00000000-0005-0000-0000-0000A64C0000}"/>
    <cellStyle name="Normal 6 2 5 2 2 3 2 2" xfId="15384" xr:uid="{00000000-0005-0000-0000-0000A74C0000}"/>
    <cellStyle name="Normal 6 2 5 2 2 3 3" xfId="15385" xr:uid="{00000000-0005-0000-0000-0000A84C0000}"/>
    <cellStyle name="Normal 6 2 5 2 2 4" xfId="15386" xr:uid="{00000000-0005-0000-0000-0000A94C0000}"/>
    <cellStyle name="Normal 6 2 5 2 2 4 2" xfId="15387" xr:uid="{00000000-0005-0000-0000-0000AA4C0000}"/>
    <cellStyle name="Normal 6 2 5 2 2 5" xfId="15388" xr:uid="{00000000-0005-0000-0000-0000AB4C0000}"/>
    <cellStyle name="Normal 6 2 5 2 3" xfId="15389" xr:uid="{00000000-0005-0000-0000-0000AC4C0000}"/>
    <cellStyle name="Normal 6 2 5 2 3 2" xfId="15390" xr:uid="{00000000-0005-0000-0000-0000AD4C0000}"/>
    <cellStyle name="Normal 6 2 5 2 3 2 2" xfId="15391" xr:uid="{00000000-0005-0000-0000-0000AE4C0000}"/>
    <cellStyle name="Normal 6 2 5 2 3 2 2 2" xfId="15392" xr:uid="{00000000-0005-0000-0000-0000AF4C0000}"/>
    <cellStyle name="Normal 6 2 5 2 3 2 3" xfId="15393" xr:uid="{00000000-0005-0000-0000-0000B04C0000}"/>
    <cellStyle name="Normal 6 2 5 2 3 3" xfId="15394" xr:uid="{00000000-0005-0000-0000-0000B14C0000}"/>
    <cellStyle name="Normal 6 2 5 2 3 3 2" xfId="15395" xr:uid="{00000000-0005-0000-0000-0000B24C0000}"/>
    <cellStyle name="Normal 6 2 5 2 3 4" xfId="15396" xr:uid="{00000000-0005-0000-0000-0000B34C0000}"/>
    <cellStyle name="Normal 6 2 5 2 4" xfId="15397" xr:uid="{00000000-0005-0000-0000-0000B44C0000}"/>
    <cellStyle name="Normal 6 2 5 2 4 2" xfId="15398" xr:uid="{00000000-0005-0000-0000-0000B54C0000}"/>
    <cellStyle name="Normal 6 2 5 2 4 2 2" xfId="15399" xr:uid="{00000000-0005-0000-0000-0000B64C0000}"/>
    <cellStyle name="Normal 6 2 5 2 4 3" xfId="15400" xr:uid="{00000000-0005-0000-0000-0000B74C0000}"/>
    <cellStyle name="Normal 6 2 5 2 5" xfId="15401" xr:uid="{00000000-0005-0000-0000-0000B84C0000}"/>
    <cellStyle name="Normal 6 2 5 2 5 2" xfId="15402" xr:uid="{00000000-0005-0000-0000-0000B94C0000}"/>
    <cellStyle name="Normal 6 2 5 2 6" xfId="15403" xr:uid="{00000000-0005-0000-0000-0000BA4C0000}"/>
    <cellStyle name="Normal 6 2 5 3" xfId="15404" xr:uid="{00000000-0005-0000-0000-0000BB4C0000}"/>
    <cellStyle name="Normal 6 2 5 3 2" xfId="15405" xr:uid="{00000000-0005-0000-0000-0000BC4C0000}"/>
    <cellStyle name="Normal 6 2 5 3 2 2" xfId="15406" xr:uid="{00000000-0005-0000-0000-0000BD4C0000}"/>
    <cellStyle name="Normal 6 2 5 3 2 2 2" xfId="15407" xr:uid="{00000000-0005-0000-0000-0000BE4C0000}"/>
    <cellStyle name="Normal 6 2 5 3 2 2 2 2" xfId="15408" xr:uid="{00000000-0005-0000-0000-0000BF4C0000}"/>
    <cellStyle name="Normal 6 2 5 3 2 2 3" xfId="15409" xr:uid="{00000000-0005-0000-0000-0000C04C0000}"/>
    <cellStyle name="Normal 6 2 5 3 2 3" xfId="15410" xr:uid="{00000000-0005-0000-0000-0000C14C0000}"/>
    <cellStyle name="Normal 6 2 5 3 2 3 2" xfId="15411" xr:uid="{00000000-0005-0000-0000-0000C24C0000}"/>
    <cellStyle name="Normal 6 2 5 3 2 4" xfId="15412" xr:uid="{00000000-0005-0000-0000-0000C34C0000}"/>
    <cellStyle name="Normal 6 2 5 3 3" xfId="15413" xr:uid="{00000000-0005-0000-0000-0000C44C0000}"/>
    <cellStyle name="Normal 6 2 5 3 3 2" xfId="15414" xr:uid="{00000000-0005-0000-0000-0000C54C0000}"/>
    <cellStyle name="Normal 6 2 5 3 3 2 2" xfId="15415" xr:uid="{00000000-0005-0000-0000-0000C64C0000}"/>
    <cellStyle name="Normal 6 2 5 3 3 3" xfId="15416" xr:uid="{00000000-0005-0000-0000-0000C74C0000}"/>
    <cellStyle name="Normal 6 2 5 3 4" xfId="15417" xr:uid="{00000000-0005-0000-0000-0000C84C0000}"/>
    <cellStyle name="Normal 6 2 5 3 4 2" xfId="15418" xr:uid="{00000000-0005-0000-0000-0000C94C0000}"/>
    <cellStyle name="Normal 6 2 5 3 5" xfId="15419" xr:uid="{00000000-0005-0000-0000-0000CA4C0000}"/>
    <cellStyle name="Normal 6 2 5 4" xfId="15420" xr:uid="{00000000-0005-0000-0000-0000CB4C0000}"/>
    <cellStyle name="Normal 6 2 5 4 2" xfId="15421" xr:uid="{00000000-0005-0000-0000-0000CC4C0000}"/>
    <cellStyle name="Normal 6 2 5 4 2 2" xfId="15422" xr:uid="{00000000-0005-0000-0000-0000CD4C0000}"/>
    <cellStyle name="Normal 6 2 5 4 2 2 2" xfId="15423" xr:uid="{00000000-0005-0000-0000-0000CE4C0000}"/>
    <cellStyle name="Normal 6 2 5 4 2 3" xfId="15424" xr:uid="{00000000-0005-0000-0000-0000CF4C0000}"/>
    <cellStyle name="Normal 6 2 5 4 3" xfId="15425" xr:uid="{00000000-0005-0000-0000-0000D04C0000}"/>
    <cellStyle name="Normal 6 2 5 4 3 2" xfId="15426" xr:uid="{00000000-0005-0000-0000-0000D14C0000}"/>
    <cellStyle name="Normal 6 2 5 4 4" xfId="15427" xr:uid="{00000000-0005-0000-0000-0000D24C0000}"/>
    <cellStyle name="Normal 6 2 5 5" xfId="15428" xr:uid="{00000000-0005-0000-0000-0000D34C0000}"/>
    <cellStyle name="Normal 6 2 5 5 2" xfId="15429" xr:uid="{00000000-0005-0000-0000-0000D44C0000}"/>
    <cellStyle name="Normal 6 2 5 5 2 2" xfId="15430" xr:uid="{00000000-0005-0000-0000-0000D54C0000}"/>
    <cellStyle name="Normal 6 2 5 5 3" xfId="15431" xr:uid="{00000000-0005-0000-0000-0000D64C0000}"/>
    <cellStyle name="Normal 6 2 5 6" xfId="15432" xr:uid="{00000000-0005-0000-0000-0000D74C0000}"/>
    <cellStyle name="Normal 6 2 5 6 2" xfId="15433" xr:uid="{00000000-0005-0000-0000-0000D84C0000}"/>
    <cellStyle name="Normal 6 2 5 7" xfId="15434" xr:uid="{00000000-0005-0000-0000-0000D94C0000}"/>
    <cellStyle name="Normal 6 2 6" xfId="15435" xr:uid="{00000000-0005-0000-0000-0000DA4C0000}"/>
    <cellStyle name="Normal 6 2 6 2" xfId="15436" xr:uid="{00000000-0005-0000-0000-0000DB4C0000}"/>
    <cellStyle name="Normal 6 2 6 2 2" xfId="15437" xr:uid="{00000000-0005-0000-0000-0000DC4C0000}"/>
    <cellStyle name="Normal 6 2 6 2 2 2" xfId="15438" xr:uid="{00000000-0005-0000-0000-0000DD4C0000}"/>
    <cellStyle name="Normal 6 2 6 2 2 2 2" xfId="15439" xr:uid="{00000000-0005-0000-0000-0000DE4C0000}"/>
    <cellStyle name="Normal 6 2 6 2 2 2 2 2" xfId="15440" xr:uid="{00000000-0005-0000-0000-0000DF4C0000}"/>
    <cellStyle name="Normal 6 2 6 2 2 2 3" xfId="15441" xr:uid="{00000000-0005-0000-0000-0000E04C0000}"/>
    <cellStyle name="Normal 6 2 6 2 2 3" xfId="15442" xr:uid="{00000000-0005-0000-0000-0000E14C0000}"/>
    <cellStyle name="Normal 6 2 6 2 2 3 2" xfId="15443" xr:uid="{00000000-0005-0000-0000-0000E24C0000}"/>
    <cellStyle name="Normal 6 2 6 2 2 4" xfId="15444" xr:uid="{00000000-0005-0000-0000-0000E34C0000}"/>
    <cellStyle name="Normal 6 2 6 2 3" xfId="15445" xr:uid="{00000000-0005-0000-0000-0000E44C0000}"/>
    <cellStyle name="Normal 6 2 6 2 3 2" xfId="15446" xr:uid="{00000000-0005-0000-0000-0000E54C0000}"/>
    <cellStyle name="Normal 6 2 6 2 3 2 2" xfId="15447" xr:uid="{00000000-0005-0000-0000-0000E64C0000}"/>
    <cellStyle name="Normal 6 2 6 2 3 3" xfId="15448" xr:uid="{00000000-0005-0000-0000-0000E74C0000}"/>
    <cellStyle name="Normal 6 2 6 2 4" xfId="15449" xr:uid="{00000000-0005-0000-0000-0000E84C0000}"/>
    <cellStyle name="Normal 6 2 6 2 4 2" xfId="15450" xr:uid="{00000000-0005-0000-0000-0000E94C0000}"/>
    <cellStyle name="Normal 6 2 6 2 5" xfId="15451" xr:uid="{00000000-0005-0000-0000-0000EA4C0000}"/>
    <cellStyle name="Normal 6 2 6 3" xfId="15452" xr:uid="{00000000-0005-0000-0000-0000EB4C0000}"/>
    <cellStyle name="Normal 6 2 6 3 2" xfId="15453" xr:uid="{00000000-0005-0000-0000-0000EC4C0000}"/>
    <cellStyle name="Normal 6 2 6 3 2 2" xfId="15454" xr:uid="{00000000-0005-0000-0000-0000ED4C0000}"/>
    <cellStyle name="Normal 6 2 6 3 2 2 2" xfId="15455" xr:uid="{00000000-0005-0000-0000-0000EE4C0000}"/>
    <cellStyle name="Normal 6 2 6 3 2 3" xfId="15456" xr:uid="{00000000-0005-0000-0000-0000EF4C0000}"/>
    <cellStyle name="Normal 6 2 6 3 3" xfId="15457" xr:uid="{00000000-0005-0000-0000-0000F04C0000}"/>
    <cellStyle name="Normal 6 2 6 3 3 2" xfId="15458" xr:uid="{00000000-0005-0000-0000-0000F14C0000}"/>
    <cellStyle name="Normal 6 2 6 3 4" xfId="15459" xr:uid="{00000000-0005-0000-0000-0000F24C0000}"/>
    <cellStyle name="Normal 6 2 6 4" xfId="15460" xr:uid="{00000000-0005-0000-0000-0000F34C0000}"/>
    <cellStyle name="Normal 6 2 6 4 2" xfId="15461" xr:uid="{00000000-0005-0000-0000-0000F44C0000}"/>
    <cellStyle name="Normal 6 2 6 4 2 2" xfId="15462" xr:uid="{00000000-0005-0000-0000-0000F54C0000}"/>
    <cellStyle name="Normal 6 2 6 4 3" xfId="15463" xr:uid="{00000000-0005-0000-0000-0000F64C0000}"/>
    <cellStyle name="Normal 6 2 6 5" xfId="15464" xr:uid="{00000000-0005-0000-0000-0000F74C0000}"/>
    <cellStyle name="Normal 6 2 6 5 2" xfId="15465" xr:uid="{00000000-0005-0000-0000-0000F84C0000}"/>
    <cellStyle name="Normal 6 2 6 6" xfId="15466" xr:uid="{00000000-0005-0000-0000-0000F94C0000}"/>
    <cellStyle name="Normal 6 2 7" xfId="15467" xr:uid="{00000000-0005-0000-0000-0000FA4C0000}"/>
    <cellStyle name="Normal 6 2 7 2" xfId="15468" xr:uid="{00000000-0005-0000-0000-0000FB4C0000}"/>
    <cellStyle name="Normal 6 2 7 2 2" xfId="15469" xr:uid="{00000000-0005-0000-0000-0000FC4C0000}"/>
    <cellStyle name="Normal 6 2 7 2 2 2" xfId="15470" xr:uid="{00000000-0005-0000-0000-0000FD4C0000}"/>
    <cellStyle name="Normal 6 2 7 2 2 2 2" xfId="15471" xr:uid="{00000000-0005-0000-0000-0000FE4C0000}"/>
    <cellStyle name="Normal 6 2 7 2 2 3" xfId="15472" xr:uid="{00000000-0005-0000-0000-0000FF4C0000}"/>
    <cellStyle name="Normal 6 2 7 2 3" xfId="15473" xr:uid="{00000000-0005-0000-0000-0000004D0000}"/>
    <cellStyle name="Normal 6 2 7 2 3 2" xfId="15474" xr:uid="{00000000-0005-0000-0000-0000014D0000}"/>
    <cellStyle name="Normal 6 2 7 2 4" xfId="15475" xr:uid="{00000000-0005-0000-0000-0000024D0000}"/>
    <cellStyle name="Normal 6 2 7 3" xfId="15476" xr:uid="{00000000-0005-0000-0000-0000034D0000}"/>
    <cellStyle name="Normal 6 2 7 3 2" xfId="15477" xr:uid="{00000000-0005-0000-0000-0000044D0000}"/>
    <cellStyle name="Normal 6 2 7 3 2 2" xfId="15478" xr:uid="{00000000-0005-0000-0000-0000054D0000}"/>
    <cellStyle name="Normal 6 2 7 3 3" xfId="15479" xr:uid="{00000000-0005-0000-0000-0000064D0000}"/>
    <cellStyle name="Normal 6 2 7 4" xfId="15480" xr:uid="{00000000-0005-0000-0000-0000074D0000}"/>
    <cellStyle name="Normal 6 2 7 4 2" xfId="15481" xr:uid="{00000000-0005-0000-0000-0000084D0000}"/>
    <cellStyle name="Normal 6 2 7 5" xfId="15482" xr:uid="{00000000-0005-0000-0000-0000094D0000}"/>
    <cellStyle name="Normal 6 2 8" xfId="15483" xr:uid="{00000000-0005-0000-0000-00000A4D0000}"/>
    <cellStyle name="Normal 6 2 8 2" xfId="15484" xr:uid="{00000000-0005-0000-0000-00000B4D0000}"/>
    <cellStyle name="Normal 6 2 8 2 2" xfId="15485" xr:uid="{00000000-0005-0000-0000-00000C4D0000}"/>
    <cellStyle name="Normal 6 2 8 2 2 2" xfId="15486" xr:uid="{00000000-0005-0000-0000-00000D4D0000}"/>
    <cellStyle name="Normal 6 2 8 2 3" xfId="15487" xr:uid="{00000000-0005-0000-0000-00000E4D0000}"/>
    <cellStyle name="Normal 6 2 8 3" xfId="15488" xr:uid="{00000000-0005-0000-0000-00000F4D0000}"/>
    <cellStyle name="Normal 6 2 8 3 2" xfId="15489" xr:uid="{00000000-0005-0000-0000-0000104D0000}"/>
    <cellStyle name="Normal 6 2 8 4" xfId="15490" xr:uid="{00000000-0005-0000-0000-0000114D0000}"/>
    <cellStyle name="Normal 6 2 9" xfId="15491" xr:uid="{00000000-0005-0000-0000-0000124D0000}"/>
    <cellStyle name="Normal 6 2 9 2" xfId="15492" xr:uid="{00000000-0005-0000-0000-0000134D0000}"/>
    <cellStyle name="Normal 6 2 9 2 2" xfId="15493" xr:uid="{00000000-0005-0000-0000-0000144D0000}"/>
    <cellStyle name="Normal 6 2 9 3" xfId="15494" xr:uid="{00000000-0005-0000-0000-0000154D0000}"/>
    <cellStyle name="Normal 6 3" xfId="15495" xr:uid="{00000000-0005-0000-0000-0000164D0000}"/>
    <cellStyle name="Normal 6 3 10" xfId="15496" xr:uid="{00000000-0005-0000-0000-0000174D0000}"/>
    <cellStyle name="Normal 6 3 2" xfId="15497" xr:uid="{00000000-0005-0000-0000-0000184D0000}"/>
    <cellStyle name="Normal 6 3 2 2" xfId="15498" xr:uid="{00000000-0005-0000-0000-0000194D0000}"/>
    <cellStyle name="Normal 6 3 2 2 2" xfId="15499" xr:uid="{00000000-0005-0000-0000-00001A4D0000}"/>
    <cellStyle name="Normal 6 3 2 2 2 2" xfId="15500" xr:uid="{00000000-0005-0000-0000-00001B4D0000}"/>
    <cellStyle name="Normal 6 3 2 2 2 2 2" xfId="15501" xr:uid="{00000000-0005-0000-0000-00001C4D0000}"/>
    <cellStyle name="Normal 6 3 2 2 2 2 2 2" xfId="15502" xr:uid="{00000000-0005-0000-0000-00001D4D0000}"/>
    <cellStyle name="Normal 6 3 2 2 2 2 2 2 2" xfId="15503" xr:uid="{00000000-0005-0000-0000-00001E4D0000}"/>
    <cellStyle name="Normal 6 3 2 2 2 2 2 2 2 2" xfId="15504" xr:uid="{00000000-0005-0000-0000-00001F4D0000}"/>
    <cellStyle name="Normal 6 3 2 2 2 2 2 2 2 2 2" xfId="15505" xr:uid="{00000000-0005-0000-0000-0000204D0000}"/>
    <cellStyle name="Normal 6 3 2 2 2 2 2 2 2 3" xfId="15506" xr:uid="{00000000-0005-0000-0000-0000214D0000}"/>
    <cellStyle name="Normal 6 3 2 2 2 2 2 2 3" xfId="15507" xr:uid="{00000000-0005-0000-0000-0000224D0000}"/>
    <cellStyle name="Normal 6 3 2 2 2 2 2 2 3 2" xfId="15508" xr:uid="{00000000-0005-0000-0000-0000234D0000}"/>
    <cellStyle name="Normal 6 3 2 2 2 2 2 2 4" xfId="15509" xr:uid="{00000000-0005-0000-0000-0000244D0000}"/>
    <cellStyle name="Normal 6 3 2 2 2 2 2 3" xfId="15510" xr:uid="{00000000-0005-0000-0000-0000254D0000}"/>
    <cellStyle name="Normal 6 3 2 2 2 2 2 3 2" xfId="15511" xr:uid="{00000000-0005-0000-0000-0000264D0000}"/>
    <cellStyle name="Normal 6 3 2 2 2 2 2 3 2 2" xfId="15512" xr:uid="{00000000-0005-0000-0000-0000274D0000}"/>
    <cellStyle name="Normal 6 3 2 2 2 2 2 3 3" xfId="15513" xr:uid="{00000000-0005-0000-0000-0000284D0000}"/>
    <cellStyle name="Normal 6 3 2 2 2 2 2 4" xfId="15514" xr:uid="{00000000-0005-0000-0000-0000294D0000}"/>
    <cellStyle name="Normal 6 3 2 2 2 2 2 4 2" xfId="15515" xr:uid="{00000000-0005-0000-0000-00002A4D0000}"/>
    <cellStyle name="Normal 6 3 2 2 2 2 2 5" xfId="15516" xr:uid="{00000000-0005-0000-0000-00002B4D0000}"/>
    <cellStyle name="Normal 6 3 2 2 2 2 3" xfId="15517" xr:uid="{00000000-0005-0000-0000-00002C4D0000}"/>
    <cellStyle name="Normal 6 3 2 2 2 2 3 2" xfId="15518" xr:uid="{00000000-0005-0000-0000-00002D4D0000}"/>
    <cellStyle name="Normal 6 3 2 2 2 2 3 2 2" xfId="15519" xr:uid="{00000000-0005-0000-0000-00002E4D0000}"/>
    <cellStyle name="Normal 6 3 2 2 2 2 3 2 2 2" xfId="15520" xr:uid="{00000000-0005-0000-0000-00002F4D0000}"/>
    <cellStyle name="Normal 6 3 2 2 2 2 3 2 3" xfId="15521" xr:uid="{00000000-0005-0000-0000-0000304D0000}"/>
    <cellStyle name="Normal 6 3 2 2 2 2 3 3" xfId="15522" xr:uid="{00000000-0005-0000-0000-0000314D0000}"/>
    <cellStyle name="Normal 6 3 2 2 2 2 3 3 2" xfId="15523" xr:uid="{00000000-0005-0000-0000-0000324D0000}"/>
    <cellStyle name="Normal 6 3 2 2 2 2 3 4" xfId="15524" xr:uid="{00000000-0005-0000-0000-0000334D0000}"/>
    <cellStyle name="Normal 6 3 2 2 2 2 4" xfId="15525" xr:uid="{00000000-0005-0000-0000-0000344D0000}"/>
    <cellStyle name="Normal 6 3 2 2 2 2 4 2" xfId="15526" xr:uid="{00000000-0005-0000-0000-0000354D0000}"/>
    <cellStyle name="Normal 6 3 2 2 2 2 4 2 2" xfId="15527" xr:uid="{00000000-0005-0000-0000-0000364D0000}"/>
    <cellStyle name="Normal 6 3 2 2 2 2 4 3" xfId="15528" xr:uid="{00000000-0005-0000-0000-0000374D0000}"/>
    <cellStyle name="Normal 6 3 2 2 2 2 5" xfId="15529" xr:uid="{00000000-0005-0000-0000-0000384D0000}"/>
    <cellStyle name="Normal 6 3 2 2 2 2 5 2" xfId="15530" xr:uid="{00000000-0005-0000-0000-0000394D0000}"/>
    <cellStyle name="Normal 6 3 2 2 2 2 6" xfId="15531" xr:uid="{00000000-0005-0000-0000-00003A4D0000}"/>
    <cellStyle name="Normal 6 3 2 2 2 3" xfId="15532" xr:uid="{00000000-0005-0000-0000-00003B4D0000}"/>
    <cellStyle name="Normal 6 3 2 2 2 3 2" xfId="15533" xr:uid="{00000000-0005-0000-0000-00003C4D0000}"/>
    <cellStyle name="Normal 6 3 2 2 2 3 2 2" xfId="15534" xr:uid="{00000000-0005-0000-0000-00003D4D0000}"/>
    <cellStyle name="Normal 6 3 2 2 2 3 2 2 2" xfId="15535" xr:uid="{00000000-0005-0000-0000-00003E4D0000}"/>
    <cellStyle name="Normal 6 3 2 2 2 3 2 2 2 2" xfId="15536" xr:uid="{00000000-0005-0000-0000-00003F4D0000}"/>
    <cellStyle name="Normal 6 3 2 2 2 3 2 2 3" xfId="15537" xr:uid="{00000000-0005-0000-0000-0000404D0000}"/>
    <cellStyle name="Normal 6 3 2 2 2 3 2 3" xfId="15538" xr:uid="{00000000-0005-0000-0000-0000414D0000}"/>
    <cellStyle name="Normal 6 3 2 2 2 3 2 3 2" xfId="15539" xr:uid="{00000000-0005-0000-0000-0000424D0000}"/>
    <cellStyle name="Normal 6 3 2 2 2 3 2 4" xfId="15540" xr:uid="{00000000-0005-0000-0000-0000434D0000}"/>
    <cellStyle name="Normal 6 3 2 2 2 3 3" xfId="15541" xr:uid="{00000000-0005-0000-0000-0000444D0000}"/>
    <cellStyle name="Normal 6 3 2 2 2 3 3 2" xfId="15542" xr:uid="{00000000-0005-0000-0000-0000454D0000}"/>
    <cellStyle name="Normal 6 3 2 2 2 3 3 2 2" xfId="15543" xr:uid="{00000000-0005-0000-0000-0000464D0000}"/>
    <cellStyle name="Normal 6 3 2 2 2 3 3 3" xfId="15544" xr:uid="{00000000-0005-0000-0000-0000474D0000}"/>
    <cellStyle name="Normal 6 3 2 2 2 3 4" xfId="15545" xr:uid="{00000000-0005-0000-0000-0000484D0000}"/>
    <cellStyle name="Normal 6 3 2 2 2 3 4 2" xfId="15546" xr:uid="{00000000-0005-0000-0000-0000494D0000}"/>
    <cellStyle name="Normal 6 3 2 2 2 3 5" xfId="15547" xr:uid="{00000000-0005-0000-0000-00004A4D0000}"/>
    <cellStyle name="Normal 6 3 2 2 2 4" xfId="15548" xr:uid="{00000000-0005-0000-0000-00004B4D0000}"/>
    <cellStyle name="Normal 6 3 2 2 2 4 2" xfId="15549" xr:uid="{00000000-0005-0000-0000-00004C4D0000}"/>
    <cellStyle name="Normal 6 3 2 2 2 4 2 2" xfId="15550" xr:uid="{00000000-0005-0000-0000-00004D4D0000}"/>
    <cellStyle name="Normal 6 3 2 2 2 4 2 2 2" xfId="15551" xr:uid="{00000000-0005-0000-0000-00004E4D0000}"/>
    <cellStyle name="Normal 6 3 2 2 2 4 2 3" xfId="15552" xr:uid="{00000000-0005-0000-0000-00004F4D0000}"/>
    <cellStyle name="Normal 6 3 2 2 2 4 3" xfId="15553" xr:uid="{00000000-0005-0000-0000-0000504D0000}"/>
    <cellStyle name="Normal 6 3 2 2 2 4 3 2" xfId="15554" xr:uid="{00000000-0005-0000-0000-0000514D0000}"/>
    <cellStyle name="Normal 6 3 2 2 2 4 4" xfId="15555" xr:uid="{00000000-0005-0000-0000-0000524D0000}"/>
    <cellStyle name="Normal 6 3 2 2 2 5" xfId="15556" xr:uid="{00000000-0005-0000-0000-0000534D0000}"/>
    <cellStyle name="Normal 6 3 2 2 2 5 2" xfId="15557" xr:uid="{00000000-0005-0000-0000-0000544D0000}"/>
    <cellStyle name="Normal 6 3 2 2 2 5 2 2" xfId="15558" xr:uid="{00000000-0005-0000-0000-0000554D0000}"/>
    <cellStyle name="Normal 6 3 2 2 2 5 3" xfId="15559" xr:uid="{00000000-0005-0000-0000-0000564D0000}"/>
    <cellStyle name="Normal 6 3 2 2 2 6" xfId="15560" xr:uid="{00000000-0005-0000-0000-0000574D0000}"/>
    <cellStyle name="Normal 6 3 2 2 2 6 2" xfId="15561" xr:uid="{00000000-0005-0000-0000-0000584D0000}"/>
    <cellStyle name="Normal 6 3 2 2 2 7" xfId="15562" xr:uid="{00000000-0005-0000-0000-0000594D0000}"/>
    <cellStyle name="Normal 6 3 2 2 3" xfId="15563" xr:uid="{00000000-0005-0000-0000-00005A4D0000}"/>
    <cellStyle name="Normal 6 3 2 2 3 2" xfId="15564" xr:uid="{00000000-0005-0000-0000-00005B4D0000}"/>
    <cellStyle name="Normal 6 3 2 2 3 2 2" xfId="15565" xr:uid="{00000000-0005-0000-0000-00005C4D0000}"/>
    <cellStyle name="Normal 6 3 2 2 3 2 2 2" xfId="15566" xr:uid="{00000000-0005-0000-0000-00005D4D0000}"/>
    <cellStyle name="Normal 6 3 2 2 3 2 2 2 2" xfId="15567" xr:uid="{00000000-0005-0000-0000-00005E4D0000}"/>
    <cellStyle name="Normal 6 3 2 2 3 2 2 2 2 2" xfId="15568" xr:uid="{00000000-0005-0000-0000-00005F4D0000}"/>
    <cellStyle name="Normal 6 3 2 2 3 2 2 2 3" xfId="15569" xr:uid="{00000000-0005-0000-0000-0000604D0000}"/>
    <cellStyle name="Normal 6 3 2 2 3 2 2 3" xfId="15570" xr:uid="{00000000-0005-0000-0000-0000614D0000}"/>
    <cellStyle name="Normal 6 3 2 2 3 2 2 3 2" xfId="15571" xr:uid="{00000000-0005-0000-0000-0000624D0000}"/>
    <cellStyle name="Normal 6 3 2 2 3 2 2 4" xfId="15572" xr:uid="{00000000-0005-0000-0000-0000634D0000}"/>
    <cellStyle name="Normal 6 3 2 2 3 2 3" xfId="15573" xr:uid="{00000000-0005-0000-0000-0000644D0000}"/>
    <cellStyle name="Normal 6 3 2 2 3 2 3 2" xfId="15574" xr:uid="{00000000-0005-0000-0000-0000654D0000}"/>
    <cellStyle name="Normal 6 3 2 2 3 2 3 2 2" xfId="15575" xr:uid="{00000000-0005-0000-0000-0000664D0000}"/>
    <cellStyle name="Normal 6 3 2 2 3 2 3 3" xfId="15576" xr:uid="{00000000-0005-0000-0000-0000674D0000}"/>
    <cellStyle name="Normal 6 3 2 2 3 2 4" xfId="15577" xr:uid="{00000000-0005-0000-0000-0000684D0000}"/>
    <cellStyle name="Normal 6 3 2 2 3 2 4 2" xfId="15578" xr:uid="{00000000-0005-0000-0000-0000694D0000}"/>
    <cellStyle name="Normal 6 3 2 2 3 2 5" xfId="15579" xr:uid="{00000000-0005-0000-0000-00006A4D0000}"/>
    <cellStyle name="Normal 6 3 2 2 3 3" xfId="15580" xr:uid="{00000000-0005-0000-0000-00006B4D0000}"/>
    <cellStyle name="Normal 6 3 2 2 3 3 2" xfId="15581" xr:uid="{00000000-0005-0000-0000-00006C4D0000}"/>
    <cellStyle name="Normal 6 3 2 2 3 3 2 2" xfId="15582" xr:uid="{00000000-0005-0000-0000-00006D4D0000}"/>
    <cellStyle name="Normal 6 3 2 2 3 3 2 2 2" xfId="15583" xr:uid="{00000000-0005-0000-0000-00006E4D0000}"/>
    <cellStyle name="Normal 6 3 2 2 3 3 2 3" xfId="15584" xr:uid="{00000000-0005-0000-0000-00006F4D0000}"/>
    <cellStyle name="Normal 6 3 2 2 3 3 3" xfId="15585" xr:uid="{00000000-0005-0000-0000-0000704D0000}"/>
    <cellStyle name="Normal 6 3 2 2 3 3 3 2" xfId="15586" xr:uid="{00000000-0005-0000-0000-0000714D0000}"/>
    <cellStyle name="Normal 6 3 2 2 3 3 4" xfId="15587" xr:uid="{00000000-0005-0000-0000-0000724D0000}"/>
    <cellStyle name="Normal 6 3 2 2 3 4" xfId="15588" xr:uid="{00000000-0005-0000-0000-0000734D0000}"/>
    <cellStyle name="Normal 6 3 2 2 3 4 2" xfId="15589" xr:uid="{00000000-0005-0000-0000-0000744D0000}"/>
    <cellStyle name="Normal 6 3 2 2 3 4 2 2" xfId="15590" xr:uid="{00000000-0005-0000-0000-0000754D0000}"/>
    <cellStyle name="Normal 6 3 2 2 3 4 3" xfId="15591" xr:uid="{00000000-0005-0000-0000-0000764D0000}"/>
    <cellStyle name="Normal 6 3 2 2 3 5" xfId="15592" xr:uid="{00000000-0005-0000-0000-0000774D0000}"/>
    <cellStyle name="Normal 6 3 2 2 3 5 2" xfId="15593" xr:uid="{00000000-0005-0000-0000-0000784D0000}"/>
    <cellStyle name="Normal 6 3 2 2 3 6" xfId="15594" xr:uid="{00000000-0005-0000-0000-0000794D0000}"/>
    <cellStyle name="Normal 6 3 2 2 4" xfId="15595" xr:uid="{00000000-0005-0000-0000-00007A4D0000}"/>
    <cellStyle name="Normal 6 3 2 2 4 2" xfId="15596" xr:uid="{00000000-0005-0000-0000-00007B4D0000}"/>
    <cellStyle name="Normal 6 3 2 2 4 2 2" xfId="15597" xr:uid="{00000000-0005-0000-0000-00007C4D0000}"/>
    <cellStyle name="Normal 6 3 2 2 4 2 2 2" xfId="15598" xr:uid="{00000000-0005-0000-0000-00007D4D0000}"/>
    <cellStyle name="Normal 6 3 2 2 4 2 2 2 2" xfId="15599" xr:uid="{00000000-0005-0000-0000-00007E4D0000}"/>
    <cellStyle name="Normal 6 3 2 2 4 2 2 3" xfId="15600" xr:uid="{00000000-0005-0000-0000-00007F4D0000}"/>
    <cellStyle name="Normal 6 3 2 2 4 2 3" xfId="15601" xr:uid="{00000000-0005-0000-0000-0000804D0000}"/>
    <cellStyle name="Normal 6 3 2 2 4 2 3 2" xfId="15602" xr:uid="{00000000-0005-0000-0000-0000814D0000}"/>
    <cellStyle name="Normal 6 3 2 2 4 2 4" xfId="15603" xr:uid="{00000000-0005-0000-0000-0000824D0000}"/>
    <cellStyle name="Normal 6 3 2 2 4 3" xfId="15604" xr:uid="{00000000-0005-0000-0000-0000834D0000}"/>
    <cellStyle name="Normal 6 3 2 2 4 3 2" xfId="15605" xr:uid="{00000000-0005-0000-0000-0000844D0000}"/>
    <cellStyle name="Normal 6 3 2 2 4 3 2 2" xfId="15606" xr:uid="{00000000-0005-0000-0000-0000854D0000}"/>
    <cellStyle name="Normal 6 3 2 2 4 3 3" xfId="15607" xr:uid="{00000000-0005-0000-0000-0000864D0000}"/>
    <cellStyle name="Normal 6 3 2 2 4 4" xfId="15608" xr:uid="{00000000-0005-0000-0000-0000874D0000}"/>
    <cellStyle name="Normal 6 3 2 2 4 4 2" xfId="15609" xr:uid="{00000000-0005-0000-0000-0000884D0000}"/>
    <cellStyle name="Normal 6 3 2 2 4 5" xfId="15610" xr:uid="{00000000-0005-0000-0000-0000894D0000}"/>
    <cellStyle name="Normal 6 3 2 2 5" xfId="15611" xr:uid="{00000000-0005-0000-0000-00008A4D0000}"/>
    <cellStyle name="Normal 6 3 2 2 5 2" xfId="15612" xr:uid="{00000000-0005-0000-0000-00008B4D0000}"/>
    <cellStyle name="Normal 6 3 2 2 5 2 2" xfId="15613" xr:uid="{00000000-0005-0000-0000-00008C4D0000}"/>
    <cellStyle name="Normal 6 3 2 2 5 2 2 2" xfId="15614" xr:uid="{00000000-0005-0000-0000-00008D4D0000}"/>
    <cellStyle name="Normal 6 3 2 2 5 2 3" xfId="15615" xr:uid="{00000000-0005-0000-0000-00008E4D0000}"/>
    <cellStyle name="Normal 6 3 2 2 5 3" xfId="15616" xr:uid="{00000000-0005-0000-0000-00008F4D0000}"/>
    <cellStyle name="Normal 6 3 2 2 5 3 2" xfId="15617" xr:uid="{00000000-0005-0000-0000-0000904D0000}"/>
    <cellStyle name="Normal 6 3 2 2 5 4" xfId="15618" xr:uid="{00000000-0005-0000-0000-0000914D0000}"/>
    <cellStyle name="Normal 6 3 2 2 6" xfId="15619" xr:uid="{00000000-0005-0000-0000-0000924D0000}"/>
    <cellStyle name="Normal 6 3 2 2 6 2" xfId="15620" xr:uid="{00000000-0005-0000-0000-0000934D0000}"/>
    <cellStyle name="Normal 6 3 2 2 6 2 2" xfId="15621" xr:uid="{00000000-0005-0000-0000-0000944D0000}"/>
    <cellStyle name="Normal 6 3 2 2 6 3" xfId="15622" xr:uid="{00000000-0005-0000-0000-0000954D0000}"/>
    <cellStyle name="Normal 6 3 2 2 7" xfId="15623" xr:uid="{00000000-0005-0000-0000-0000964D0000}"/>
    <cellStyle name="Normal 6 3 2 2 7 2" xfId="15624" xr:uid="{00000000-0005-0000-0000-0000974D0000}"/>
    <cellStyle name="Normal 6 3 2 2 8" xfId="15625" xr:uid="{00000000-0005-0000-0000-0000984D0000}"/>
    <cellStyle name="Normal 6 3 2 3" xfId="15626" xr:uid="{00000000-0005-0000-0000-0000994D0000}"/>
    <cellStyle name="Normal 6 3 2 3 2" xfId="15627" xr:uid="{00000000-0005-0000-0000-00009A4D0000}"/>
    <cellStyle name="Normal 6 3 2 3 2 2" xfId="15628" xr:uid="{00000000-0005-0000-0000-00009B4D0000}"/>
    <cellStyle name="Normal 6 3 2 3 2 2 2" xfId="15629" xr:uid="{00000000-0005-0000-0000-00009C4D0000}"/>
    <cellStyle name="Normal 6 3 2 3 2 2 2 2" xfId="15630" xr:uid="{00000000-0005-0000-0000-00009D4D0000}"/>
    <cellStyle name="Normal 6 3 2 3 2 2 2 2 2" xfId="15631" xr:uid="{00000000-0005-0000-0000-00009E4D0000}"/>
    <cellStyle name="Normal 6 3 2 3 2 2 2 2 2 2" xfId="15632" xr:uid="{00000000-0005-0000-0000-00009F4D0000}"/>
    <cellStyle name="Normal 6 3 2 3 2 2 2 2 3" xfId="15633" xr:uid="{00000000-0005-0000-0000-0000A04D0000}"/>
    <cellStyle name="Normal 6 3 2 3 2 2 2 3" xfId="15634" xr:uid="{00000000-0005-0000-0000-0000A14D0000}"/>
    <cellStyle name="Normal 6 3 2 3 2 2 2 3 2" xfId="15635" xr:uid="{00000000-0005-0000-0000-0000A24D0000}"/>
    <cellStyle name="Normal 6 3 2 3 2 2 2 4" xfId="15636" xr:uid="{00000000-0005-0000-0000-0000A34D0000}"/>
    <cellStyle name="Normal 6 3 2 3 2 2 3" xfId="15637" xr:uid="{00000000-0005-0000-0000-0000A44D0000}"/>
    <cellStyle name="Normal 6 3 2 3 2 2 3 2" xfId="15638" xr:uid="{00000000-0005-0000-0000-0000A54D0000}"/>
    <cellStyle name="Normal 6 3 2 3 2 2 3 2 2" xfId="15639" xr:uid="{00000000-0005-0000-0000-0000A64D0000}"/>
    <cellStyle name="Normal 6 3 2 3 2 2 3 3" xfId="15640" xr:uid="{00000000-0005-0000-0000-0000A74D0000}"/>
    <cellStyle name="Normal 6 3 2 3 2 2 4" xfId="15641" xr:uid="{00000000-0005-0000-0000-0000A84D0000}"/>
    <cellStyle name="Normal 6 3 2 3 2 2 4 2" xfId="15642" xr:uid="{00000000-0005-0000-0000-0000A94D0000}"/>
    <cellStyle name="Normal 6 3 2 3 2 2 5" xfId="15643" xr:uid="{00000000-0005-0000-0000-0000AA4D0000}"/>
    <cellStyle name="Normal 6 3 2 3 2 3" xfId="15644" xr:uid="{00000000-0005-0000-0000-0000AB4D0000}"/>
    <cellStyle name="Normal 6 3 2 3 2 3 2" xfId="15645" xr:uid="{00000000-0005-0000-0000-0000AC4D0000}"/>
    <cellStyle name="Normal 6 3 2 3 2 3 2 2" xfId="15646" xr:uid="{00000000-0005-0000-0000-0000AD4D0000}"/>
    <cellStyle name="Normal 6 3 2 3 2 3 2 2 2" xfId="15647" xr:uid="{00000000-0005-0000-0000-0000AE4D0000}"/>
    <cellStyle name="Normal 6 3 2 3 2 3 2 3" xfId="15648" xr:uid="{00000000-0005-0000-0000-0000AF4D0000}"/>
    <cellStyle name="Normal 6 3 2 3 2 3 3" xfId="15649" xr:uid="{00000000-0005-0000-0000-0000B04D0000}"/>
    <cellStyle name="Normal 6 3 2 3 2 3 3 2" xfId="15650" xr:uid="{00000000-0005-0000-0000-0000B14D0000}"/>
    <cellStyle name="Normal 6 3 2 3 2 3 4" xfId="15651" xr:uid="{00000000-0005-0000-0000-0000B24D0000}"/>
    <cellStyle name="Normal 6 3 2 3 2 4" xfId="15652" xr:uid="{00000000-0005-0000-0000-0000B34D0000}"/>
    <cellStyle name="Normal 6 3 2 3 2 4 2" xfId="15653" xr:uid="{00000000-0005-0000-0000-0000B44D0000}"/>
    <cellStyle name="Normal 6 3 2 3 2 4 2 2" xfId="15654" xr:uid="{00000000-0005-0000-0000-0000B54D0000}"/>
    <cellStyle name="Normal 6 3 2 3 2 4 3" xfId="15655" xr:uid="{00000000-0005-0000-0000-0000B64D0000}"/>
    <cellStyle name="Normal 6 3 2 3 2 5" xfId="15656" xr:uid="{00000000-0005-0000-0000-0000B74D0000}"/>
    <cellStyle name="Normal 6 3 2 3 2 5 2" xfId="15657" xr:uid="{00000000-0005-0000-0000-0000B84D0000}"/>
    <cellStyle name="Normal 6 3 2 3 2 6" xfId="15658" xr:uid="{00000000-0005-0000-0000-0000B94D0000}"/>
    <cellStyle name="Normal 6 3 2 3 3" xfId="15659" xr:uid="{00000000-0005-0000-0000-0000BA4D0000}"/>
    <cellStyle name="Normal 6 3 2 3 3 2" xfId="15660" xr:uid="{00000000-0005-0000-0000-0000BB4D0000}"/>
    <cellStyle name="Normal 6 3 2 3 3 2 2" xfId="15661" xr:uid="{00000000-0005-0000-0000-0000BC4D0000}"/>
    <cellStyle name="Normal 6 3 2 3 3 2 2 2" xfId="15662" xr:uid="{00000000-0005-0000-0000-0000BD4D0000}"/>
    <cellStyle name="Normal 6 3 2 3 3 2 2 2 2" xfId="15663" xr:uid="{00000000-0005-0000-0000-0000BE4D0000}"/>
    <cellStyle name="Normal 6 3 2 3 3 2 2 3" xfId="15664" xr:uid="{00000000-0005-0000-0000-0000BF4D0000}"/>
    <cellStyle name="Normal 6 3 2 3 3 2 3" xfId="15665" xr:uid="{00000000-0005-0000-0000-0000C04D0000}"/>
    <cellStyle name="Normal 6 3 2 3 3 2 3 2" xfId="15666" xr:uid="{00000000-0005-0000-0000-0000C14D0000}"/>
    <cellStyle name="Normal 6 3 2 3 3 2 4" xfId="15667" xr:uid="{00000000-0005-0000-0000-0000C24D0000}"/>
    <cellStyle name="Normal 6 3 2 3 3 3" xfId="15668" xr:uid="{00000000-0005-0000-0000-0000C34D0000}"/>
    <cellStyle name="Normal 6 3 2 3 3 3 2" xfId="15669" xr:uid="{00000000-0005-0000-0000-0000C44D0000}"/>
    <cellStyle name="Normal 6 3 2 3 3 3 2 2" xfId="15670" xr:uid="{00000000-0005-0000-0000-0000C54D0000}"/>
    <cellStyle name="Normal 6 3 2 3 3 3 3" xfId="15671" xr:uid="{00000000-0005-0000-0000-0000C64D0000}"/>
    <cellStyle name="Normal 6 3 2 3 3 4" xfId="15672" xr:uid="{00000000-0005-0000-0000-0000C74D0000}"/>
    <cellStyle name="Normal 6 3 2 3 3 4 2" xfId="15673" xr:uid="{00000000-0005-0000-0000-0000C84D0000}"/>
    <cellStyle name="Normal 6 3 2 3 3 5" xfId="15674" xr:uid="{00000000-0005-0000-0000-0000C94D0000}"/>
    <cellStyle name="Normal 6 3 2 3 4" xfId="15675" xr:uid="{00000000-0005-0000-0000-0000CA4D0000}"/>
    <cellStyle name="Normal 6 3 2 3 4 2" xfId="15676" xr:uid="{00000000-0005-0000-0000-0000CB4D0000}"/>
    <cellStyle name="Normal 6 3 2 3 4 2 2" xfId="15677" xr:uid="{00000000-0005-0000-0000-0000CC4D0000}"/>
    <cellStyle name="Normal 6 3 2 3 4 2 2 2" xfId="15678" xr:uid="{00000000-0005-0000-0000-0000CD4D0000}"/>
    <cellStyle name="Normal 6 3 2 3 4 2 3" xfId="15679" xr:uid="{00000000-0005-0000-0000-0000CE4D0000}"/>
    <cellStyle name="Normal 6 3 2 3 4 3" xfId="15680" xr:uid="{00000000-0005-0000-0000-0000CF4D0000}"/>
    <cellStyle name="Normal 6 3 2 3 4 3 2" xfId="15681" xr:uid="{00000000-0005-0000-0000-0000D04D0000}"/>
    <cellStyle name="Normal 6 3 2 3 4 4" xfId="15682" xr:uid="{00000000-0005-0000-0000-0000D14D0000}"/>
    <cellStyle name="Normal 6 3 2 3 5" xfId="15683" xr:uid="{00000000-0005-0000-0000-0000D24D0000}"/>
    <cellStyle name="Normal 6 3 2 3 5 2" xfId="15684" xr:uid="{00000000-0005-0000-0000-0000D34D0000}"/>
    <cellStyle name="Normal 6 3 2 3 5 2 2" xfId="15685" xr:uid="{00000000-0005-0000-0000-0000D44D0000}"/>
    <cellStyle name="Normal 6 3 2 3 5 3" xfId="15686" xr:uid="{00000000-0005-0000-0000-0000D54D0000}"/>
    <cellStyle name="Normal 6 3 2 3 6" xfId="15687" xr:uid="{00000000-0005-0000-0000-0000D64D0000}"/>
    <cellStyle name="Normal 6 3 2 3 6 2" xfId="15688" xr:uid="{00000000-0005-0000-0000-0000D74D0000}"/>
    <cellStyle name="Normal 6 3 2 3 7" xfId="15689" xr:uid="{00000000-0005-0000-0000-0000D84D0000}"/>
    <cellStyle name="Normal 6 3 2 4" xfId="15690" xr:uid="{00000000-0005-0000-0000-0000D94D0000}"/>
    <cellStyle name="Normal 6 3 2 4 2" xfId="15691" xr:uid="{00000000-0005-0000-0000-0000DA4D0000}"/>
    <cellStyle name="Normal 6 3 2 4 2 2" xfId="15692" xr:uid="{00000000-0005-0000-0000-0000DB4D0000}"/>
    <cellStyle name="Normal 6 3 2 4 2 2 2" xfId="15693" xr:uid="{00000000-0005-0000-0000-0000DC4D0000}"/>
    <cellStyle name="Normal 6 3 2 4 2 2 2 2" xfId="15694" xr:uid="{00000000-0005-0000-0000-0000DD4D0000}"/>
    <cellStyle name="Normal 6 3 2 4 2 2 2 2 2" xfId="15695" xr:uid="{00000000-0005-0000-0000-0000DE4D0000}"/>
    <cellStyle name="Normal 6 3 2 4 2 2 2 3" xfId="15696" xr:uid="{00000000-0005-0000-0000-0000DF4D0000}"/>
    <cellStyle name="Normal 6 3 2 4 2 2 3" xfId="15697" xr:uid="{00000000-0005-0000-0000-0000E04D0000}"/>
    <cellStyle name="Normal 6 3 2 4 2 2 3 2" xfId="15698" xr:uid="{00000000-0005-0000-0000-0000E14D0000}"/>
    <cellStyle name="Normal 6 3 2 4 2 2 4" xfId="15699" xr:uid="{00000000-0005-0000-0000-0000E24D0000}"/>
    <cellStyle name="Normal 6 3 2 4 2 3" xfId="15700" xr:uid="{00000000-0005-0000-0000-0000E34D0000}"/>
    <cellStyle name="Normal 6 3 2 4 2 3 2" xfId="15701" xr:uid="{00000000-0005-0000-0000-0000E44D0000}"/>
    <cellStyle name="Normal 6 3 2 4 2 3 2 2" xfId="15702" xr:uid="{00000000-0005-0000-0000-0000E54D0000}"/>
    <cellStyle name="Normal 6 3 2 4 2 3 3" xfId="15703" xr:uid="{00000000-0005-0000-0000-0000E64D0000}"/>
    <cellStyle name="Normal 6 3 2 4 2 4" xfId="15704" xr:uid="{00000000-0005-0000-0000-0000E74D0000}"/>
    <cellStyle name="Normal 6 3 2 4 2 4 2" xfId="15705" xr:uid="{00000000-0005-0000-0000-0000E84D0000}"/>
    <cellStyle name="Normal 6 3 2 4 2 5" xfId="15706" xr:uid="{00000000-0005-0000-0000-0000E94D0000}"/>
    <cellStyle name="Normal 6 3 2 4 3" xfId="15707" xr:uid="{00000000-0005-0000-0000-0000EA4D0000}"/>
    <cellStyle name="Normal 6 3 2 4 3 2" xfId="15708" xr:uid="{00000000-0005-0000-0000-0000EB4D0000}"/>
    <cellStyle name="Normal 6 3 2 4 3 2 2" xfId="15709" xr:uid="{00000000-0005-0000-0000-0000EC4D0000}"/>
    <cellStyle name="Normal 6 3 2 4 3 2 2 2" xfId="15710" xr:uid="{00000000-0005-0000-0000-0000ED4D0000}"/>
    <cellStyle name="Normal 6 3 2 4 3 2 3" xfId="15711" xr:uid="{00000000-0005-0000-0000-0000EE4D0000}"/>
    <cellStyle name="Normal 6 3 2 4 3 3" xfId="15712" xr:uid="{00000000-0005-0000-0000-0000EF4D0000}"/>
    <cellStyle name="Normal 6 3 2 4 3 3 2" xfId="15713" xr:uid="{00000000-0005-0000-0000-0000F04D0000}"/>
    <cellStyle name="Normal 6 3 2 4 3 4" xfId="15714" xr:uid="{00000000-0005-0000-0000-0000F14D0000}"/>
    <cellStyle name="Normal 6 3 2 4 4" xfId="15715" xr:uid="{00000000-0005-0000-0000-0000F24D0000}"/>
    <cellStyle name="Normal 6 3 2 4 4 2" xfId="15716" xr:uid="{00000000-0005-0000-0000-0000F34D0000}"/>
    <cellStyle name="Normal 6 3 2 4 4 2 2" xfId="15717" xr:uid="{00000000-0005-0000-0000-0000F44D0000}"/>
    <cellStyle name="Normal 6 3 2 4 4 3" xfId="15718" xr:uid="{00000000-0005-0000-0000-0000F54D0000}"/>
    <cellStyle name="Normal 6 3 2 4 5" xfId="15719" xr:uid="{00000000-0005-0000-0000-0000F64D0000}"/>
    <cellStyle name="Normal 6 3 2 4 5 2" xfId="15720" xr:uid="{00000000-0005-0000-0000-0000F74D0000}"/>
    <cellStyle name="Normal 6 3 2 4 6" xfId="15721" xr:uid="{00000000-0005-0000-0000-0000F84D0000}"/>
    <cellStyle name="Normal 6 3 2 5" xfId="15722" xr:uid="{00000000-0005-0000-0000-0000F94D0000}"/>
    <cellStyle name="Normal 6 3 2 5 2" xfId="15723" xr:uid="{00000000-0005-0000-0000-0000FA4D0000}"/>
    <cellStyle name="Normal 6 3 2 5 2 2" xfId="15724" xr:uid="{00000000-0005-0000-0000-0000FB4D0000}"/>
    <cellStyle name="Normal 6 3 2 5 2 2 2" xfId="15725" xr:uid="{00000000-0005-0000-0000-0000FC4D0000}"/>
    <cellStyle name="Normal 6 3 2 5 2 2 2 2" xfId="15726" xr:uid="{00000000-0005-0000-0000-0000FD4D0000}"/>
    <cellStyle name="Normal 6 3 2 5 2 2 3" xfId="15727" xr:uid="{00000000-0005-0000-0000-0000FE4D0000}"/>
    <cellStyle name="Normal 6 3 2 5 2 3" xfId="15728" xr:uid="{00000000-0005-0000-0000-0000FF4D0000}"/>
    <cellStyle name="Normal 6 3 2 5 2 3 2" xfId="15729" xr:uid="{00000000-0005-0000-0000-0000004E0000}"/>
    <cellStyle name="Normal 6 3 2 5 2 4" xfId="15730" xr:uid="{00000000-0005-0000-0000-0000014E0000}"/>
    <cellStyle name="Normal 6 3 2 5 3" xfId="15731" xr:uid="{00000000-0005-0000-0000-0000024E0000}"/>
    <cellStyle name="Normal 6 3 2 5 3 2" xfId="15732" xr:uid="{00000000-0005-0000-0000-0000034E0000}"/>
    <cellStyle name="Normal 6 3 2 5 3 2 2" xfId="15733" xr:uid="{00000000-0005-0000-0000-0000044E0000}"/>
    <cellStyle name="Normal 6 3 2 5 3 3" xfId="15734" xr:uid="{00000000-0005-0000-0000-0000054E0000}"/>
    <cellStyle name="Normal 6 3 2 5 4" xfId="15735" xr:uid="{00000000-0005-0000-0000-0000064E0000}"/>
    <cellStyle name="Normal 6 3 2 5 4 2" xfId="15736" xr:uid="{00000000-0005-0000-0000-0000074E0000}"/>
    <cellStyle name="Normal 6 3 2 5 5" xfId="15737" xr:uid="{00000000-0005-0000-0000-0000084E0000}"/>
    <cellStyle name="Normal 6 3 2 6" xfId="15738" xr:uid="{00000000-0005-0000-0000-0000094E0000}"/>
    <cellStyle name="Normal 6 3 2 6 2" xfId="15739" xr:uid="{00000000-0005-0000-0000-00000A4E0000}"/>
    <cellStyle name="Normal 6 3 2 6 2 2" xfId="15740" xr:uid="{00000000-0005-0000-0000-00000B4E0000}"/>
    <cellStyle name="Normal 6 3 2 6 2 2 2" xfId="15741" xr:uid="{00000000-0005-0000-0000-00000C4E0000}"/>
    <cellStyle name="Normal 6 3 2 6 2 3" xfId="15742" xr:uid="{00000000-0005-0000-0000-00000D4E0000}"/>
    <cellStyle name="Normal 6 3 2 6 3" xfId="15743" xr:uid="{00000000-0005-0000-0000-00000E4E0000}"/>
    <cellStyle name="Normal 6 3 2 6 3 2" xfId="15744" xr:uid="{00000000-0005-0000-0000-00000F4E0000}"/>
    <cellStyle name="Normal 6 3 2 6 4" xfId="15745" xr:uid="{00000000-0005-0000-0000-0000104E0000}"/>
    <cellStyle name="Normal 6 3 2 7" xfId="15746" xr:uid="{00000000-0005-0000-0000-0000114E0000}"/>
    <cellStyle name="Normal 6 3 2 7 2" xfId="15747" xr:uid="{00000000-0005-0000-0000-0000124E0000}"/>
    <cellStyle name="Normal 6 3 2 7 2 2" xfId="15748" xr:uid="{00000000-0005-0000-0000-0000134E0000}"/>
    <cellStyle name="Normal 6 3 2 7 3" xfId="15749" xr:uid="{00000000-0005-0000-0000-0000144E0000}"/>
    <cellStyle name="Normal 6 3 2 8" xfId="15750" xr:uid="{00000000-0005-0000-0000-0000154E0000}"/>
    <cellStyle name="Normal 6 3 2 8 2" xfId="15751" xr:uid="{00000000-0005-0000-0000-0000164E0000}"/>
    <cellStyle name="Normal 6 3 2 9" xfId="15752" xr:uid="{00000000-0005-0000-0000-0000174E0000}"/>
    <cellStyle name="Normal 6 3 3" xfId="15753" xr:uid="{00000000-0005-0000-0000-0000184E0000}"/>
    <cellStyle name="Normal 6 3 3 2" xfId="15754" xr:uid="{00000000-0005-0000-0000-0000194E0000}"/>
    <cellStyle name="Normal 6 3 3 2 2" xfId="15755" xr:uid="{00000000-0005-0000-0000-00001A4E0000}"/>
    <cellStyle name="Normal 6 3 3 2 2 2" xfId="15756" xr:uid="{00000000-0005-0000-0000-00001B4E0000}"/>
    <cellStyle name="Normal 6 3 3 2 2 2 2" xfId="15757" xr:uid="{00000000-0005-0000-0000-00001C4E0000}"/>
    <cellStyle name="Normal 6 3 3 2 2 2 2 2" xfId="15758" xr:uid="{00000000-0005-0000-0000-00001D4E0000}"/>
    <cellStyle name="Normal 6 3 3 2 2 2 2 2 2" xfId="15759" xr:uid="{00000000-0005-0000-0000-00001E4E0000}"/>
    <cellStyle name="Normal 6 3 3 2 2 2 2 2 2 2" xfId="15760" xr:uid="{00000000-0005-0000-0000-00001F4E0000}"/>
    <cellStyle name="Normal 6 3 3 2 2 2 2 2 3" xfId="15761" xr:uid="{00000000-0005-0000-0000-0000204E0000}"/>
    <cellStyle name="Normal 6 3 3 2 2 2 2 3" xfId="15762" xr:uid="{00000000-0005-0000-0000-0000214E0000}"/>
    <cellStyle name="Normal 6 3 3 2 2 2 2 3 2" xfId="15763" xr:uid="{00000000-0005-0000-0000-0000224E0000}"/>
    <cellStyle name="Normal 6 3 3 2 2 2 2 4" xfId="15764" xr:uid="{00000000-0005-0000-0000-0000234E0000}"/>
    <cellStyle name="Normal 6 3 3 2 2 2 3" xfId="15765" xr:uid="{00000000-0005-0000-0000-0000244E0000}"/>
    <cellStyle name="Normal 6 3 3 2 2 2 3 2" xfId="15766" xr:uid="{00000000-0005-0000-0000-0000254E0000}"/>
    <cellStyle name="Normal 6 3 3 2 2 2 3 2 2" xfId="15767" xr:uid="{00000000-0005-0000-0000-0000264E0000}"/>
    <cellStyle name="Normal 6 3 3 2 2 2 3 3" xfId="15768" xr:uid="{00000000-0005-0000-0000-0000274E0000}"/>
    <cellStyle name="Normal 6 3 3 2 2 2 4" xfId="15769" xr:uid="{00000000-0005-0000-0000-0000284E0000}"/>
    <cellStyle name="Normal 6 3 3 2 2 2 4 2" xfId="15770" xr:uid="{00000000-0005-0000-0000-0000294E0000}"/>
    <cellStyle name="Normal 6 3 3 2 2 2 5" xfId="15771" xr:uid="{00000000-0005-0000-0000-00002A4E0000}"/>
    <cellStyle name="Normal 6 3 3 2 2 3" xfId="15772" xr:uid="{00000000-0005-0000-0000-00002B4E0000}"/>
    <cellStyle name="Normal 6 3 3 2 2 3 2" xfId="15773" xr:uid="{00000000-0005-0000-0000-00002C4E0000}"/>
    <cellStyle name="Normal 6 3 3 2 2 3 2 2" xfId="15774" xr:uid="{00000000-0005-0000-0000-00002D4E0000}"/>
    <cellStyle name="Normal 6 3 3 2 2 3 2 2 2" xfId="15775" xr:uid="{00000000-0005-0000-0000-00002E4E0000}"/>
    <cellStyle name="Normal 6 3 3 2 2 3 2 3" xfId="15776" xr:uid="{00000000-0005-0000-0000-00002F4E0000}"/>
    <cellStyle name="Normal 6 3 3 2 2 3 3" xfId="15777" xr:uid="{00000000-0005-0000-0000-0000304E0000}"/>
    <cellStyle name="Normal 6 3 3 2 2 3 3 2" xfId="15778" xr:uid="{00000000-0005-0000-0000-0000314E0000}"/>
    <cellStyle name="Normal 6 3 3 2 2 3 4" xfId="15779" xr:uid="{00000000-0005-0000-0000-0000324E0000}"/>
    <cellStyle name="Normal 6 3 3 2 2 4" xfId="15780" xr:uid="{00000000-0005-0000-0000-0000334E0000}"/>
    <cellStyle name="Normal 6 3 3 2 2 4 2" xfId="15781" xr:uid="{00000000-0005-0000-0000-0000344E0000}"/>
    <cellStyle name="Normal 6 3 3 2 2 4 2 2" xfId="15782" xr:uid="{00000000-0005-0000-0000-0000354E0000}"/>
    <cellStyle name="Normal 6 3 3 2 2 4 3" xfId="15783" xr:uid="{00000000-0005-0000-0000-0000364E0000}"/>
    <cellStyle name="Normal 6 3 3 2 2 5" xfId="15784" xr:uid="{00000000-0005-0000-0000-0000374E0000}"/>
    <cellStyle name="Normal 6 3 3 2 2 5 2" xfId="15785" xr:uid="{00000000-0005-0000-0000-0000384E0000}"/>
    <cellStyle name="Normal 6 3 3 2 2 6" xfId="15786" xr:uid="{00000000-0005-0000-0000-0000394E0000}"/>
    <cellStyle name="Normal 6 3 3 2 3" xfId="15787" xr:uid="{00000000-0005-0000-0000-00003A4E0000}"/>
    <cellStyle name="Normal 6 3 3 2 3 2" xfId="15788" xr:uid="{00000000-0005-0000-0000-00003B4E0000}"/>
    <cellStyle name="Normal 6 3 3 2 3 2 2" xfId="15789" xr:uid="{00000000-0005-0000-0000-00003C4E0000}"/>
    <cellStyle name="Normal 6 3 3 2 3 2 2 2" xfId="15790" xr:uid="{00000000-0005-0000-0000-00003D4E0000}"/>
    <cellStyle name="Normal 6 3 3 2 3 2 2 2 2" xfId="15791" xr:uid="{00000000-0005-0000-0000-00003E4E0000}"/>
    <cellStyle name="Normal 6 3 3 2 3 2 2 3" xfId="15792" xr:uid="{00000000-0005-0000-0000-00003F4E0000}"/>
    <cellStyle name="Normal 6 3 3 2 3 2 3" xfId="15793" xr:uid="{00000000-0005-0000-0000-0000404E0000}"/>
    <cellStyle name="Normal 6 3 3 2 3 2 3 2" xfId="15794" xr:uid="{00000000-0005-0000-0000-0000414E0000}"/>
    <cellStyle name="Normal 6 3 3 2 3 2 4" xfId="15795" xr:uid="{00000000-0005-0000-0000-0000424E0000}"/>
    <cellStyle name="Normal 6 3 3 2 3 3" xfId="15796" xr:uid="{00000000-0005-0000-0000-0000434E0000}"/>
    <cellStyle name="Normal 6 3 3 2 3 3 2" xfId="15797" xr:uid="{00000000-0005-0000-0000-0000444E0000}"/>
    <cellStyle name="Normal 6 3 3 2 3 3 2 2" xfId="15798" xr:uid="{00000000-0005-0000-0000-0000454E0000}"/>
    <cellStyle name="Normal 6 3 3 2 3 3 3" xfId="15799" xr:uid="{00000000-0005-0000-0000-0000464E0000}"/>
    <cellStyle name="Normal 6 3 3 2 3 4" xfId="15800" xr:uid="{00000000-0005-0000-0000-0000474E0000}"/>
    <cellStyle name="Normal 6 3 3 2 3 4 2" xfId="15801" xr:uid="{00000000-0005-0000-0000-0000484E0000}"/>
    <cellStyle name="Normal 6 3 3 2 3 5" xfId="15802" xr:uid="{00000000-0005-0000-0000-0000494E0000}"/>
    <cellStyle name="Normal 6 3 3 2 4" xfId="15803" xr:uid="{00000000-0005-0000-0000-00004A4E0000}"/>
    <cellStyle name="Normal 6 3 3 2 4 2" xfId="15804" xr:uid="{00000000-0005-0000-0000-00004B4E0000}"/>
    <cellStyle name="Normal 6 3 3 2 4 2 2" xfId="15805" xr:uid="{00000000-0005-0000-0000-00004C4E0000}"/>
    <cellStyle name="Normal 6 3 3 2 4 2 2 2" xfId="15806" xr:uid="{00000000-0005-0000-0000-00004D4E0000}"/>
    <cellStyle name="Normal 6 3 3 2 4 2 3" xfId="15807" xr:uid="{00000000-0005-0000-0000-00004E4E0000}"/>
    <cellStyle name="Normal 6 3 3 2 4 3" xfId="15808" xr:uid="{00000000-0005-0000-0000-00004F4E0000}"/>
    <cellStyle name="Normal 6 3 3 2 4 3 2" xfId="15809" xr:uid="{00000000-0005-0000-0000-0000504E0000}"/>
    <cellStyle name="Normal 6 3 3 2 4 4" xfId="15810" xr:uid="{00000000-0005-0000-0000-0000514E0000}"/>
    <cellStyle name="Normal 6 3 3 2 5" xfId="15811" xr:uid="{00000000-0005-0000-0000-0000524E0000}"/>
    <cellStyle name="Normal 6 3 3 2 5 2" xfId="15812" xr:uid="{00000000-0005-0000-0000-0000534E0000}"/>
    <cellStyle name="Normal 6 3 3 2 5 2 2" xfId="15813" xr:uid="{00000000-0005-0000-0000-0000544E0000}"/>
    <cellStyle name="Normal 6 3 3 2 5 3" xfId="15814" xr:uid="{00000000-0005-0000-0000-0000554E0000}"/>
    <cellStyle name="Normal 6 3 3 2 6" xfId="15815" xr:uid="{00000000-0005-0000-0000-0000564E0000}"/>
    <cellStyle name="Normal 6 3 3 2 6 2" xfId="15816" xr:uid="{00000000-0005-0000-0000-0000574E0000}"/>
    <cellStyle name="Normal 6 3 3 2 7" xfId="15817" xr:uid="{00000000-0005-0000-0000-0000584E0000}"/>
    <cellStyle name="Normal 6 3 3 3" xfId="15818" xr:uid="{00000000-0005-0000-0000-0000594E0000}"/>
    <cellStyle name="Normal 6 3 3 3 2" xfId="15819" xr:uid="{00000000-0005-0000-0000-00005A4E0000}"/>
    <cellStyle name="Normal 6 3 3 3 2 2" xfId="15820" xr:uid="{00000000-0005-0000-0000-00005B4E0000}"/>
    <cellStyle name="Normal 6 3 3 3 2 2 2" xfId="15821" xr:uid="{00000000-0005-0000-0000-00005C4E0000}"/>
    <cellStyle name="Normal 6 3 3 3 2 2 2 2" xfId="15822" xr:uid="{00000000-0005-0000-0000-00005D4E0000}"/>
    <cellStyle name="Normal 6 3 3 3 2 2 2 2 2" xfId="15823" xr:uid="{00000000-0005-0000-0000-00005E4E0000}"/>
    <cellStyle name="Normal 6 3 3 3 2 2 2 3" xfId="15824" xr:uid="{00000000-0005-0000-0000-00005F4E0000}"/>
    <cellStyle name="Normal 6 3 3 3 2 2 3" xfId="15825" xr:uid="{00000000-0005-0000-0000-0000604E0000}"/>
    <cellStyle name="Normal 6 3 3 3 2 2 3 2" xfId="15826" xr:uid="{00000000-0005-0000-0000-0000614E0000}"/>
    <cellStyle name="Normal 6 3 3 3 2 2 4" xfId="15827" xr:uid="{00000000-0005-0000-0000-0000624E0000}"/>
    <cellStyle name="Normal 6 3 3 3 2 3" xfId="15828" xr:uid="{00000000-0005-0000-0000-0000634E0000}"/>
    <cellStyle name="Normal 6 3 3 3 2 3 2" xfId="15829" xr:uid="{00000000-0005-0000-0000-0000644E0000}"/>
    <cellStyle name="Normal 6 3 3 3 2 3 2 2" xfId="15830" xr:uid="{00000000-0005-0000-0000-0000654E0000}"/>
    <cellStyle name="Normal 6 3 3 3 2 3 3" xfId="15831" xr:uid="{00000000-0005-0000-0000-0000664E0000}"/>
    <cellStyle name="Normal 6 3 3 3 2 4" xfId="15832" xr:uid="{00000000-0005-0000-0000-0000674E0000}"/>
    <cellStyle name="Normal 6 3 3 3 2 4 2" xfId="15833" xr:uid="{00000000-0005-0000-0000-0000684E0000}"/>
    <cellStyle name="Normal 6 3 3 3 2 5" xfId="15834" xr:uid="{00000000-0005-0000-0000-0000694E0000}"/>
    <cellStyle name="Normal 6 3 3 3 3" xfId="15835" xr:uid="{00000000-0005-0000-0000-00006A4E0000}"/>
    <cellStyle name="Normal 6 3 3 3 3 2" xfId="15836" xr:uid="{00000000-0005-0000-0000-00006B4E0000}"/>
    <cellStyle name="Normal 6 3 3 3 3 2 2" xfId="15837" xr:uid="{00000000-0005-0000-0000-00006C4E0000}"/>
    <cellStyle name="Normal 6 3 3 3 3 2 2 2" xfId="15838" xr:uid="{00000000-0005-0000-0000-00006D4E0000}"/>
    <cellStyle name="Normal 6 3 3 3 3 2 3" xfId="15839" xr:uid="{00000000-0005-0000-0000-00006E4E0000}"/>
    <cellStyle name="Normal 6 3 3 3 3 3" xfId="15840" xr:uid="{00000000-0005-0000-0000-00006F4E0000}"/>
    <cellStyle name="Normal 6 3 3 3 3 3 2" xfId="15841" xr:uid="{00000000-0005-0000-0000-0000704E0000}"/>
    <cellStyle name="Normal 6 3 3 3 3 4" xfId="15842" xr:uid="{00000000-0005-0000-0000-0000714E0000}"/>
    <cellStyle name="Normal 6 3 3 3 4" xfId="15843" xr:uid="{00000000-0005-0000-0000-0000724E0000}"/>
    <cellStyle name="Normal 6 3 3 3 4 2" xfId="15844" xr:uid="{00000000-0005-0000-0000-0000734E0000}"/>
    <cellStyle name="Normal 6 3 3 3 4 2 2" xfId="15845" xr:uid="{00000000-0005-0000-0000-0000744E0000}"/>
    <cellStyle name="Normal 6 3 3 3 4 3" xfId="15846" xr:uid="{00000000-0005-0000-0000-0000754E0000}"/>
    <cellStyle name="Normal 6 3 3 3 5" xfId="15847" xr:uid="{00000000-0005-0000-0000-0000764E0000}"/>
    <cellStyle name="Normal 6 3 3 3 5 2" xfId="15848" xr:uid="{00000000-0005-0000-0000-0000774E0000}"/>
    <cellStyle name="Normal 6 3 3 3 6" xfId="15849" xr:uid="{00000000-0005-0000-0000-0000784E0000}"/>
    <cellStyle name="Normal 6 3 3 4" xfId="15850" xr:uid="{00000000-0005-0000-0000-0000794E0000}"/>
    <cellStyle name="Normal 6 3 3 4 2" xfId="15851" xr:uid="{00000000-0005-0000-0000-00007A4E0000}"/>
    <cellStyle name="Normal 6 3 3 4 2 2" xfId="15852" xr:uid="{00000000-0005-0000-0000-00007B4E0000}"/>
    <cellStyle name="Normal 6 3 3 4 2 2 2" xfId="15853" xr:uid="{00000000-0005-0000-0000-00007C4E0000}"/>
    <cellStyle name="Normal 6 3 3 4 2 2 2 2" xfId="15854" xr:uid="{00000000-0005-0000-0000-00007D4E0000}"/>
    <cellStyle name="Normal 6 3 3 4 2 2 3" xfId="15855" xr:uid="{00000000-0005-0000-0000-00007E4E0000}"/>
    <cellStyle name="Normal 6 3 3 4 2 3" xfId="15856" xr:uid="{00000000-0005-0000-0000-00007F4E0000}"/>
    <cellStyle name="Normal 6 3 3 4 2 3 2" xfId="15857" xr:uid="{00000000-0005-0000-0000-0000804E0000}"/>
    <cellStyle name="Normal 6 3 3 4 2 4" xfId="15858" xr:uid="{00000000-0005-0000-0000-0000814E0000}"/>
    <cellStyle name="Normal 6 3 3 4 3" xfId="15859" xr:uid="{00000000-0005-0000-0000-0000824E0000}"/>
    <cellStyle name="Normal 6 3 3 4 3 2" xfId="15860" xr:uid="{00000000-0005-0000-0000-0000834E0000}"/>
    <cellStyle name="Normal 6 3 3 4 3 2 2" xfId="15861" xr:uid="{00000000-0005-0000-0000-0000844E0000}"/>
    <cellStyle name="Normal 6 3 3 4 3 3" xfId="15862" xr:uid="{00000000-0005-0000-0000-0000854E0000}"/>
    <cellStyle name="Normal 6 3 3 4 4" xfId="15863" xr:uid="{00000000-0005-0000-0000-0000864E0000}"/>
    <cellStyle name="Normal 6 3 3 4 4 2" xfId="15864" xr:uid="{00000000-0005-0000-0000-0000874E0000}"/>
    <cellStyle name="Normal 6 3 3 4 5" xfId="15865" xr:uid="{00000000-0005-0000-0000-0000884E0000}"/>
    <cellStyle name="Normal 6 3 3 5" xfId="15866" xr:uid="{00000000-0005-0000-0000-0000894E0000}"/>
    <cellStyle name="Normal 6 3 3 5 2" xfId="15867" xr:uid="{00000000-0005-0000-0000-00008A4E0000}"/>
    <cellStyle name="Normal 6 3 3 5 2 2" xfId="15868" xr:uid="{00000000-0005-0000-0000-00008B4E0000}"/>
    <cellStyle name="Normal 6 3 3 5 2 2 2" xfId="15869" xr:uid="{00000000-0005-0000-0000-00008C4E0000}"/>
    <cellStyle name="Normal 6 3 3 5 2 3" xfId="15870" xr:uid="{00000000-0005-0000-0000-00008D4E0000}"/>
    <cellStyle name="Normal 6 3 3 5 3" xfId="15871" xr:uid="{00000000-0005-0000-0000-00008E4E0000}"/>
    <cellStyle name="Normal 6 3 3 5 3 2" xfId="15872" xr:uid="{00000000-0005-0000-0000-00008F4E0000}"/>
    <cellStyle name="Normal 6 3 3 5 4" xfId="15873" xr:uid="{00000000-0005-0000-0000-0000904E0000}"/>
    <cellStyle name="Normal 6 3 3 6" xfId="15874" xr:uid="{00000000-0005-0000-0000-0000914E0000}"/>
    <cellStyle name="Normal 6 3 3 6 2" xfId="15875" xr:uid="{00000000-0005-0000-0000-0000924E0000}"/>
    <cellStyle name="Normal 6 3 3 6 2 2" xfId="15876" xr:uid="{00000000-0005-0000-0000-0000934E0000}"/>
    <cellStyle name="Normal 6 3 3 6 3" xfId="15877" xr:uid="{00000000-0005-0000-0000-0000944E0000}"/>
    <cellStyle name="Normal 6 3 3 7" xfId="15878" xr:uid="{00000000-0005-0000-0000-0000954E0000}"/>
    <cellStyle name="Normal 6 3 3 7 2" xfId="15879" xr:uid="{00000000-0005-0000-0000-0000964E0000}"/>
    <cellStyle name="Normal 6 3 3 8" xfId="15880" xr:uid="{00000000-0005-0000-0000-0000974E0000}"/>
    <cellStyle name="Normal 6 3 4" xfId="15881" xr:uid="{00000000-0005-0000-0000-0000984E0000}"/>
    <cellStyle name="Normal 6 3 4 2" xfId="15882" xr:uid="{00000000-0005-0000-0000-0000994E0000}"/>
    <cellStyle name="Normal 6 3 4 2 2" xfId="15883" xr:uid="{00000000-0005-0000-0000-00009A4E0000}"/>
    <cellStyle name="Normal 6 3 4 2 2 2" xfId="15884" xr:uid="{00000000-0005-0000-0000-00009B4E0000}"/>
    <cellStyle name="Normal 6 3 4 2 2 2 2" xfId="15885" xr:uid="{00000000-0005-0000-0000-00009C4E0000}"/>
    <cellStyle name="Normal 6 3 4 2 2 2 2 2" xfId="15886" xr:uid="{00000000-0005-0000-0000-00009D4E0000}"/>
    <cellStyle name="Normal 6 3 4 2 2 2 2 2 2" xfId="15887" xr:uid="{00000000-0005-0000-0000-00009E4E0000}"/>
    <cellStyle name="Normal 6 3 4 2 2 2 2 3" xfId="15888" xr:uid="{00000000-0005-0000-0000-00009F4E0000}"/>
    <cellStyle name="Normal 6 3 4 2 2 2 3" xfId="15889" xr:uid="{00000000-0005-0000-0000-0000A04E0000}"/>
    <cellStyle name="Normal 6 3 4 2 2 2 3 2" xfId="15890" xr:uid="{00000000-0005-0000-0000-0000A14E0000}"/>
    <cellStyle name="Normal 6 3 4 2 2 2 4" xfId="15891" xr:uid="{00000000-0005-0000-0000-0000A24E0000}"/>
    <cellStyle name="Normal 6 3 4 2 2 3" xfId="15892" xr:uid="{00000000-0005-0000-0000-0000A34E0000}"/>
    <cellStyle name="Normal 6 3 4 2 2 3 2" xfId="15893" xr:uid="{00000000-0005-0000-0000-0000A44E0000}"/>
    <cellStyle name="Normal 6 3 4 2 2 3 2 2" xfId="15894" xr:uid="{00000000-0005-0000-0000-0000A54E0000}"/>
    <cellStyle name="Normal 6 3 4 2 2 3 3" xfId="15895" xr:uid="{00000000-0005-0000-0000-0000A64E0000}"/>
    <cellStyle name="Normal 6 3 4 2 2 4" xfId="15896" xr:uid="{00000000-0005-0000-0000-0000A74E0000}"/>
    <cellStyle name="Normal 6 3 4 2 2 4 2" xfId="15897" xr:uid="{00000000-0005-0000-0000-0000A84E0000}"/>
    <cellStyle name="Normal 6 3 4 2 2 5" xfId="15898" xr:uid="{00000000-0005-0000-0000-0000A94E0000}"/>
    <cellStyle name="Normal 6 3 4 2 3" xfId="15899" xr:uid="{00000000-0005-0000-0000-0000AA4E0000}"/>
    <cellStyle name="Normal 6 3 4 2 3 2" xfId="15900" xr:uid="{00000000-0005-0000-0000-0000AB4E0000}"/>
    <cellStyle name="Normal 6 3 4 2 3 2 2" xfId="15901" xr:uid="{00000000-0005-0000-0000-0000AC4E0000}"/>
    <cellStyle name="Normal 6 3 4 2 3 2 2 2" xfId="15902" xr:uid="{00000000-0005-0000-0000-0000AD4E0000}"/>
    <cellStyle name="Normal 6 3 4 2 3 2 3" xfId="15903" xr:uid="{00000000-0005-0000-0000-0000AE4E0000}"/>
    <cellStyle name="Normal 6 3 4 2 3 3" xfId="15904" xr:uid="{00000000-0005-0000-0000-0000AF4E0000}"/>
    <cellStyle name="Normal 6 3 4 2 3 3 2" xfId="15905" xr:uid="{00000000-0005-0000-0000-0000B04E0000}"/>
    <cellStyle name="Normal 6 3 4 2 3 4" xfId="15906" xr:uid="{00000000-0005-0000-0000-0000B14E0000}"/>
    <cellStyle name="Normal 6 3 4 2 4" xfId="15907" xr:uid="{00000000-0005-0000-0000-0000B24E0000}"/>
    <cellStyle name="Normal 6 3 4 2 4 2" xfId="15908" xr:uid="{00000000-0005-0000-0000-0000B34E0000}"/>
    <cellStyle name="Normal 6 3 4 2 4 2 2" xfId="15909" xr:uid="{00000000-0005-0000-0000-0000B44E0000}"/>
    <cellStyle name="Normal 6 3 4 2 4 3" xfId="15910" xr:uid="{00000000-0005-0000-0000-0000B54E0000}"/>
    <cellStyle name="Normal 6 3 4 2 5" xfId="15911" xr:uid="{00000000-0005-0000-0000-0000B64E0000}"/>
    <cellStyle name="Normal 6 3 4 2 5 2" xfId="15912" xr:uid="{00000000-0005-0000-0000-0000B74E0000}"/>
    <cellStyle name="Normal 6 3 4 2 6" xfId="15913" xr:uid="{00000000-0005-0000-0000-0000B84E0000}"/>
    <cellStyle name="Normal 6 3 4 3" xfId="15914" xr:uid="{00000000-0005-0000-0000-0000B94E0000}"/>
    <cellStyle name="Normal 6 3 4 3 2" xfId="15915" xr:uid="{00000000-0005-0000-0000-0000BA4E0000}"/>
    <cellStyle name="Normal 6 3 4 3 2 2" xfId="15916" xr:uid="{00000000-0005-0000-0000-0000BB4E0000}"/>
    <cellStyle name="Normal 6 3 4 3 2 2 2" xfId="15917" xr:uid="{00000000-0005-0000-0000-0000BC4E0000}"/>
    <cellStyle name="Normal 6 3 4 3 2 2 2 2" xfId="15918" xr:uid="{00000000-0005-0000-0000-0000BD4E0000}"/>
    <cellStyle name="Normal 6 3 4 3 2 2 3" xfId="15919" xr:uid="{00000000-0005-0000-0000-0000BE4E0000}"/>
    <cellStyle name="Normal 6 3 4 3 2 3" xfId="15920" xr:uid="{00000000-0005-0000-0000-0000BF4E0000}"/>
    <cellStyle name="Normal 6 3 4 3 2 3 2" xfId="15921" xr:uid="{00000000-0005-0000-0000-0000C04E0000}"/>
    <cellStyle name="Normal 6 3 4 3 2 4" xfId="15922" xr:uid="{00000000-0005-0000-0000-0000C14E0000}"/>
    <cellStyle name="Normal 6 3 4 3 3" xfId="15923" xr:uid="{00000000-0005-0000-0000-0000C24E0000}"/>
    <cellStyle name="Normal 6 3 4 3 3 2" xfId="15924" xr:uid="{00000000-0005-0000-0000-0000C34E0000}"/>
    <cellStyle name="Normal 6 3 4 3 3 2 2" xfId="15925" xr:uid="{00000000-0005-0000-0000-0000C44E0000}"/>
    <cellStyle name="Normal 6 3 4 3 3 3" xfId="15926" xr:uid="{00000000-0005-0000-0000-0000C54E0000}"/>
    <cellStyle name="Normal 6 3 4 3 4" xfId="15927" xr:uid="{00000000-0005-0000-0000-0000C64E0000}"/>
    <cellStyle name="Normal 6 3 4 3 4 2" xfId="15928" xr:uid="{00000000-0005-0000-0000-0000C74E0000}"/>
    <cellStyle name="Normal 6 3 4 3 5" xfId="15929" xr:uid="{00000000-0005-0000-0000-0000C84E0000}"/>
    <cellStyle name="Normal 6 3 4 4" xfId="15930" xr:uid="{00000000-0005-0000-0000-0000C94E0000}"/>
    <cellStyle name="Normal 6 3 4 4 2" xfId="15931" xr:uid="{00000000-0005-0000-0000-0000CA4E0000}"/>
    <cellStyle name="Normal 6 3 4 4 2 2" xfId="15932" xr:uid="{00000000-0005-0000-0000-0000CB4E0000}"/>
    <cellStyle name="Normal 6 3 4 4 2 2 2" xfId="15933" xr:uid="{00000000-0005-0000-0000-0000CC4E0000}"/>
    <cellStyle name="Normal 6 3 4 4 2 3" xfId="15934" xr:uid="{00000000-0005-0000-0000-0000CD4E0000}"/>
    <cellStyle name="Normal 6 3 4 4 3" xfId="15935" xr:uid="{00000000-0005-0000-0000-0000CE4E0000}"/>
    <cellStyle name="Normal 6 3 4 4 3 2" xfId="15936" xr:uid="{00000000-0005-0000-0000-0000CF4E0000}"/>
    <cellStyle name="Normal 6 3 4 4 4" xfId="15937" xr:uid="{00000000-0005-0000-0000-0000D04E0000}"/>
    <cellStyle name="Normal 6 3 4 5" xfId="15938" xr:uid="{00000000-0005-0000-0000-0000D14E0000}"/>
    <cellStyle name="Normal 6 3 4 5 2" xfId="15939" xr:uid="{00000000-0005-0000-0000-0000D24E0000}"/>
    <cellStyle name="Normal 6 3 4 5 2 2" xfId="15940" xr:uid="{00000000-0005-0000-0000-0000D34E0000}"/>
    <cellStyle name="Normal 6 3 4 5 3" xfId="15941" xr:uid="{00000000-0005-0000-0000-0000D44E0000}"/>
    <cellStyle name="Normal 6 3 4 6" xfId="15942" xr:uid="{00000000-0005-0000-0000-0000D54E0000}"/>
    <cellStyle name="Normal 6 3 4 6 2" xfId="15943" xr:uid="{00000000-0005-0000-0000-0000D64E0000}"/>
    <cellStyle name="Normal 6 3 4 7" xfId="15944" xr:uid="{00000000-0005-0000-0000-0000D74E0000}"/>
    <cellStyle name="Normal 6 3 5" xfId="15945" xr:uid="{00000000-0005-0000-0000-0000D84E0000}"/>
    <cellStyle name="Normal 6 3 5 2" xfId="15946" xr:uid="{00000000-0005-0000-0000-0000D94E0000}"/>
    <cellStyle name="Normal 6 3 5 2 2" xfId="15947" xr:uid="{00000000-0005-0000-0000-0000DA4E0000}"/>
    <cellStyle name="Normal 6 3 5 2 2 2" xfId="15948" xr:uid="{00000000-0005-0000-0000-0000DB4E0000}"/>
    <cellStyle name="Normal 6 3 5 2 2 2 2" xfId="15949" xr:uid="{00000000-0005-0000-0000-0000DC4E0000}"/>
    <cellStyle name="Normal 6 3 5 2 2 2 2 2" xfId="15950" xr:uid="{00000000-0005-0000-0000-0000DD4E0000}"/>
    <cellStyle name="Normal 6 3 5 2 2 2 3" xfId="15951" xr:uid="{00000000-0005-0000-0000-0000DE4E0000}"/>
    <cellStyle name="Normal 6 3 5 2 2 3" xfId="15952" xr:uid="{00000000-0005-0000-0000-0000DF4E0000}"/>
    <cellStyle name="Normal 6 3 5 2 2 3 2" xfId="15953" xr:uid="{00000000-0005-0000-0000-0000E04E0000}"/>
    <cellStyle name="Normal 6 3 5 2 2 4" xfId="15954" xr:uid="{00000000-0005-0000-0000-0000E14E0000}"/>
    <cellStyle name="Normal 6 3 5 2 3" xfId="15955" xr:uid="{00000000-0005-0000-0000-0000E24E0000}"/>
    <cellStyle name="Normal 6 3 5 2 3 2" xfId="15956" xr:uid="{00000000-0005-0000-0000-0000E34E0000}"/>
    <cellStyle name="Normal 6 3 5 2 3 2 2" xfId="15957" xr:uid="{00000000-0005-0000-0000-0000E44E0000}"/>
    <cellStyle name="Normal 6 3 5 2 3 3" xfId="15958" xr:uid="{00000000-0005-0000-0000-0000E54E0000}"/>
    <cellStyle name="Normal 6 3 5 2 4" xfId="15959" xr:uid="{00000000-0005-0000-0000-0000E64E0000}"/>
    <cellStyle name="Normal 6 3 5 2 4 2" xfId="15960" xr:uid="{00000000-0005-0000-0000-0000E74E0000}"/>
    <cellStyle name="Normal 6 3 5 2 5" xfId="15961" xr:uid="{00000000-0005-0000-0000-0000E84E0000}"/>
    <cellStyle name="Normal 6 3 5 3" xfId="15962" xr:uid="{00000000-0005-0000-0000-0000E94E0000}"/>
    <cellStyle name="Normal 6 3 5 3 2" xfId="15963" xr:uid="{00000000-0005-0000-0000-0000EA4E0000}"/>
    <cellStyle name="Normal 6 3 5 3 2 2" xfId="15964" xr:uid="{00000000-0005-0000-0000-0000EB4E0000}"/>
    <cellStyle name="Normal 6 3 5 3 2 2 2" xfId="15965" xr:uid="{00000000-0005-0000-0000-0000EC4E0000}"/>
    <cellStyle name="Normal 6 3 5 3 2 3" xfId="15966" xr:uid="{00000000-0005-0000-0000-0000ED4E0000}"/>
    <cellStyle name="Normal 6 3 5 3 3" xfId="15967" xr:uid="{00000000-0005-0000-0000-0000EE4E0000}"/>
    <cellStyle name="Normal 6 3 5 3 3 2" xfId="15968" xr:uid="{00000000-0005-0000-0000-0000EF4E0000}"/>
    <cellStyle name="Normal 6 3 5 3 4" xfId="15969" xr:uid="{00000000-0005-0000-0000-0000F04E0000}"/>
    <cellStyle name="Normal 6 3 5 4" xfId="15970" xr:uid="{00000000-0005-0000-0000-0000F14E0000}"/>
    <cellStyle name="Normal 6 3 5 4 2" xfId="15971" xr:uid="{00000000-0005-0000-0000-0000F24E0000}"/>
    <cellStyle name="Normal 6 3 5 4 2 2" xfId="15972" xr:uid="{00000000-0005-0000-0000-0000F34E0000}"/>
    <cellStyle name="Normal 6 3 5 4 3" xfId="15973" xr:uid="{00000000-0005-0000-0000-0000F44E0000}"/>
    <cellStyle name="Normal 6 3 5 5" xfId="15974" xr:uid="{00000000-0005-0000-0000-0000F54E0000}"/>
    <cellStyle name="Normal 6 3 5 5 2" xfId="15975" xr:uid="{00000000-0005-0000-0000-0000F64E0000}"/>
    <cellStyle name="Normal 6 3 5 6" xfId="15976" xr:uid="{00000000-0005-0000-0000-0000F74E0000}"/>
    <cellStyle name="Normal 6 3 6" xfId="15977" xr:uid="{00000000-0005-0000-0000-0000F84E0000}"/>
    <cellStyle name="Normal 6 3 6 2" xfId="15978" xr:uid="{00000000-0005-0000-0000-0000F94E0000}"/>
    <cellStyle name="Normal 6 3 6 2 2" xfId="15979" xr:uid="{00000000-0005-0000-0000-0000FA4E0000}"/>
    <cellStyle name="Normal 6 3 6 2 2 2" xfId="15980" xr:uid="{00000000-0005-0000-0000-0000FB4E0000}"/>
    <cellStyle name="Normal 6 3 6 2 2 2 2" xfId="15981" xr:uid="{00000000-0005-0000-0000-0000FC4E0000}"/>
    <cellStyle name="Normal 6 3 6 2 2 3" xfId="15982" xr:uid="{00000000-0005-0000-0000-0000FD4E0000}"/>
    <cellStyle name="Normal 6 3 6 2 3" xfId="15983" xr:uid="{00000000-0005-0000-0000-0000FE4E0000}"/>
    <cellStyle name="Normal 6 3 6 2 3 2" xfId="15984" xr:uid="{00000000-0005-0000-0000-0000FF4E0000}"/>
    <cellStyle name="Normal 6 3 6 2 4" xfId="15985" xr:uid="{00000000-0005-0000-0000-0000004F0000}"/>
    <cellStyle name="Normal 6 3 6 3" xfId="15986" xr:uid="{00000000-0005-0000-0000-0000014F0000}"/>
    <cellStyle name="Normal 6 3 6 3 2" xfId="15987" xr:uid="{00000000-0005-0000-0000-0000024F0000}"/>
    <cellStyle name="Normal 6 3 6 3 2 2" xfId="15988" xr:uid="{00000000-0005-0000-0000-0000034F0000}"/>
    <cellStyle name="Normal 6 3 6 3 3" xfId="15989" xr:uid="{00000000-0005-0000-0000-0000044F0000}"/>
    <cellStyle name="Normal 6 3 6 4" xfId="15990" xr:uid="{00000000-0005-0000-0000-0000054F0000}"/>
    <cellStyle name="Normal 6 3 6 4 2" xfId="15991" xr:uid="{00000000-0005-0000-0000-0000064F0000}"/>
    <cellStyle name="Normal 6 3 6 5" xfId="15992" xr:uid="{00000000-0005-0000-0000-0000074F0000}"/>
    <cellStyle name="Normal 6 3 7" xfId="15993" xr:uid="{00000000-0005-0000-0000-0000084F0000}"/>
    <cellStyle name="Normal 6 3 7 2" xfId="15994" xr:uid="{00000000-0005-0000-0000-0000094F0000}"/>
    <cellStyle name="Normal 6 3 7 2 2" xfId="15995" xr:uid="{00000000-0005-0000-0000-00000A4F0000}"/>
    <cellStyle name="Normal 6 3 7 2 2 2" xfId="15996" xr:uid="{00000000-0005-0000-0000-00000B4F0000}"/>
    <cellStyle name="Normal 6 3 7 2 3" xfId="15997" xr:uid="{00000000-0005-0000-0000-00000C4F0000}"/>
    <cellStyle name="Normal 6 3 7 3" xfId="15998" xr:uid="{00000000-0005-0000-0000-00000D4F0000}"/>
    <cellStyle name="Normal 6 3 7 3 2" xfId="15999" xr:uid="{00000000-0005-0000-0000-00000E4F0000}"/>
    <cellStyle name="Normal 6 3 7 4" xfId="16000" xr:uid="{00000000-0005-0000-0000-00000F4F0000}"/>
    <cellStyle name="Normal 6 3 8" xfId="16001" xr:uid="{00000000-0005-0000-0000-0000104F0000}"/>
    <cellStyle name="Normal 6 3 8 2" xfId="16002" xr:uid="{00000000-0005-0000-0000-0000114F0000}"/>
    <cellStyle name="Normal 6 3 8 2 2" xfId="16003" xr:uid="{00000000-0005-0000-0000-0000124F0000}"/>
    <cellStyle name="Normal 6 3 8 3" xfId="16004" xr:uid="{00000000-0005-0000-0000-0000134F0000}"/>
    <cellStyle name="Normal 6 3 9" xfId="16005" xr:uid="{00000000-0005-0000-0000-0000144F0000}"/>
    <cellStyle name="Normal 6 3 9 2" xfId="16006" xr:uid="{00000000-0005-0000-0000-0000154F0000}"/>
    <cellStyle name="Normal 6 4" xfId="16007" xr:uid="{00000000-0005-0000-0000-0000164F0000}"/>
    <cellStyle name="Normal 6 4 2" xfId="16008" xr:uid="{00000000-0005-0000-0000-0000174F0000}"/>
    <cellStyle name="Normal 6 4 2 2" xfId="16009" xr:uid="{00000000-0005-0000-0000-0000184F0000}"/>
    <cellStyle name="Normal 6 4 2 2 2" xfId="16010" xr:uid="{00000000-0005-0000-0000-0000194F0000}"/>
    <cellStyle name="Normal 6 4 2 2 2 2" xfId="16011" xr:uid="{00000000-0005-0000-0000-00001A4F0000}"/>
    <cellStyle name="Normal 6 4 2 2 2 2 2" xfId="16012" xr:uid="{00000000-0005-0000-0000-00001B4F0000}"/>
    <cellStyle name="Normal 6 4 2 2 2 2 2 2" xfId="16013" xr:uid="{00000000-0005-0000-0000-00001C4F0000}"/>
    <cellStyle name="Normal 6 4 2 2 2 2 2 2 2" xfId="16014" xr:uid="{00000000-0005-0000-0000-00001D4F0000}"/>
    <cellStyle name="Normal 6 4 2 2 2 2 2 2 2 2" xfId="16015" xr:uid="{00000000-0005-0000-0000-00001E4F0000}"/>
    <cellStyle name="Normal 6 4 2 2 2 2 2 2 3" xfId="16016" xr:uid="{00000000-0005-0000-0000-00001F4F0000}"/>
    <cellStyle name="Normal 6 4 2 2 2 2 2 3" xfId="16017" xr:uid="{00000000-0005-0000-0000-0000204F0000}"/>
    <cellStyle name="Normal 6 4 2 2 2 2 2 3 2" xfId="16018" xr:uid="{00000000-0005-0000-0000-0000214F0000}"/>
    <cellStyle name="Normal 6 4 2 2 2 2 2 4" xfId="16019" xr:uid="{00000000-0005-0000-0000-0000224F0000}"/>
    <cellStyle name="Normal 6 4 2 2 2 2 3" xfId="16020" xr:uid="{00000000-0005-0000-0000-0000234F0000}"/>
    <cellStyle name="Normal 6 4 2 2 2 2 3 2" xfId="16021" xr:uid="{00000000-0005-0000-0000-0000244F0000}"/>
    <cellStyle name="Normal 6 4 2 2 2 2 3 2 2" xfId="16022" xr:uid="{00000000-0005-0000-0000-0000254F0000}"/>
    <cellStyle name="Normal 6 4 2 2 2 2 3 3" xfId="16023" xr:uid="{00000000-0005-0000-0000-0000264F0000}"/>
    <cellStyle name="Normal 6 4 2 2 2 2 4" xfId="16024" xr:uid="{00000000-0005-0000-0000-0000274F0000}"/>
    <cellStyle name="Normal 6 4 2 2 2 2 4 2" xfId="16025" xr:uid="{00000000-0005-0000-0000-0000284F0000}"/>
    <cellStyle name="Normal 6 4 2 2 2 2 5" xfId="16026" xr:uid="{00000000-0005-0000-0000-0000294F0000}"/>
    <cellStyle name="Normal 6 4 2 2 2 3" xfId="16027" xr:uid="{00000000-0005-0000-0000-00002A4F0000}"/>
    <cellStyle name="Normal 6 4 2 2 2 3 2" xfId="16028" xr:uid="{00000000-0005-0000-0000-00002B4F0000}"/>
    <cellStyle name="Normal 6 4 2 2 2 3 2 2" xfId="16029" xr:uid="{00000000-0005-0000-0000-00002C4F0000}"/>
    <cellStyle name="Normal 6 4 2 2 2 3 2 2 2" xfId="16030" xr:uid="{00000000-0005-0000-0000-00002D4F0000}"/>
    <cellStyle name="Normal 6 4 2 2 2 3 2 3" xfId="16031" xr:uid="{00000000-0005-0000-0000-00002E4F0000}"/>
    <cellStyle name="Normal 6 4 2 2 2 3 3" xfId="16032" xr:uid="{00000000-0005-0000-0000-00002F4F0000}"/>
    <cellStyle name="Normal 6 4 2 2 2 3 3 2" xfId="16033" xr:uid="{00000000-0005-0000-0000-0000304F0000}"/>
    <cellStyle name="Normal 6 4 2 2 2 3 4" xfId="16034" xr:uid="{00000000-0005-0000-0000-0000314F0000}"/>
    <cellStyle name="Normal 6 4 2 2 2 4" xfId="16035" xr:uid="{00000000-0005-0000-0000-0000324F0000}"/>
    <cellStyle name="Normal 6 4 2 2 2 4 2" xfId="16036" xr:uid="{00000000-0005-0000-0000-0000334F0000}"/>
    <cellStyle name="Normal 6 4 2 2 2 4 2 2" xfId="16037" xr:uid="{00000000-0005-0000-0000-0000344F0000}"/>
    <cellStyle name="Normal 6 4 2 2 2 4 3" xfId="16038" xr:uid="{00000000-0005-0000-0000-0000354F0000}"/>
    <cellStyle name="Normal 6 4 2 2 2 5" xfId="16039" xr:uid="{00000000-0005-0000-0000-0000364F0000}"/>
    <cellStyle name="Normal 6 4 2 2 2 5 2" xfId="16040" xr:uid="{00000000-0005-0000-0000-0000374F0000}"/>
    <cellStyle name="Normal 6 4 2 2 2 6" xfId="16041" xr:uid="{00000000-0005-0000-0000-0000384F0000}"/>
    <cellStyle name="Normal 6 4 2 2 3" xfId="16042" xr:uid="{00000000-0005-0000-0000-0000394F0000}"/>
    <cellStyle name="Normal 6 4 2 2 3 2" xfId="16043" xr:uid="{00000000-0005-0000-0000-00003A4F0000}"/>
    <cellStyle name="Normal 6 4 2 2 3 2 2" xfId="16044" xr:uid="{00000000-0005-0000-0000-00003B4F0000}"/>
    <cellStyle name="Normal 6 4 2 2 3 2 2 2" xfId="16045" xr:uid="{00000000-0005-0000-0000-00003C4F0000}"/>
    <cellStyle name="Normal 6 4 2 2 3 2 2 2 2" xfId="16046" xr:uid="{00000000-0005-0000-0000-00003D4F0000}"/>
    <cellStyle name="Normal 6 4 2 2 3 2 2 3" xfId="16047" xr:uid="{00000000-0005-0000-0000-00003E4F0000}"/>
    <cellStyle name="Normal 6 4 2 2 3 2 3" xfId="16048" xr:uid="{00000000-0005-0000-0000-00003F4F0000}"/>
    <cellStyle name="Normal 6 4 2 2 3 2 3 2" xfId="16049" xr:uid="{00000000-0005-0000-0000-0000404F0000}"/>
    <cellStyle name="Normal 6 4 2 2 3 2 4" xfId="16050" xr:uid="{00000000-0005-0000-0000-0000414F0000}"/>
    <cellStyle name="Normal 6 4 2 2 3 3" xfId="16051" xr:uid="{00000000-0005-0000-0000-0000424F0000}"/>
    <cellStyle name="Normal 6 4 2 2 3 3 2" xfId="16052" xr:uid="{00000000-0005-0000-0000-0000434F0000}"/>
    <cellStyle name="Normal 6 4 2 2 3 3 2 2" xfId="16053" xr:uid="{00000000-0005-0000-0000-0000444F0000}"/>
    <cellStyle name="Normal 6 4 2 2 3 3 3" xfId="16054" xr:uid="{00000000-0005-0000-0000-0000454F0000}"/>
    <cellStyle name="Normal 6 4 2 2 3 4" xfId="16055" xr:uid="{00000000-0005-0000-0000-0000464F0000}"/>
    <cellStyle name="Normal 6 4 2 2 3 4 2" xfId="16056" xr:uid="{00000000-0005-0000-0000-0000474F0000}"/>
    <cellStyle name="Normal 6 4 2 2 3 5" xfId="16057" xr:uid="{00000000-0005-0000-0000-0000484F0000}"/>
    <cellStyle name="Normal 6 4 2 2 4" xfId="16058" xr:uid="{00000000-0005-0000-0000-0000494F0000}"/>
    <cellStyle name="Normal 6 4 2 2 4 2" xfId="16059" xr:uid="{00000000-0005-0000-0000-00004A4F0000}"/>
    <cellStyle name="Normal 6 4 2 2 4 2 2" xfId="16060" xr:uid="{00000000-0005-0000-0000-00004B4F0000}"/>
    <cellStyle name="Normal 6 4 2 2 4 2 2 2" xfId="16061" xr:uid="{00000000-0005-0000-0000-00004C4F0000}"/>
    <cellStyle name="Normal 6 4 2 2 4 2 3" xfId="16062" xr:uid="{00000000-0005-0000-0000-00004D4F0000}"/>
    <cellStyle name="Normal 6 4 2 2 4 3" xfId="16063" xr:uid="{00000000-0005-0000-0000-00004E4F0000}"/>
    <cellStyle name="Normal 6 4 2 2 4 3 2" xfId="16064" xr:uid="{00000000-0005-0000-0000-00004F4F0000}"/>
    <cellStyle name="Normal 6 4 2 2 4 4" xfId="16065" xr:uid="{00000000-0005-0000-0000-0000504F0000}"/>
    <cellStyle name="Normal 6 4 2 2 5" xfId="16066" xr:uid="{00000000-0005-0000-0000-0000514F0000}"/>
    <cellStyle name="Normal 6 4 2 2 5 2" xfId="16067" xr:uid="{00000000-0005-0000-0000-0000524F0000}"/>
    <cellStyle name="Normal 6 4 2 2 5 2 2" xfId="16068" xr:uid="{00000000-0005-0000-0000-0000534F0000}"/>
    <cellStyle name="Normal 6 4 2 2 5 3" xfId="16069" xr:uid="{00000000-0005-0000-0000-0000544F0000}"/>
    <cellStyle name="Normal 6 4 2 2 6" xfId="16070" xr:uid="{00000000-0005-0000-0000-0000554F0000}"/>
    <cellStyle name="Normal 6 4 2 2 6 2" xfId="16071" xr:uid="{00000000-0005-0000-0000-0000564F0000}"/>
    <cellStyle name="Normal 6 4 2 2 7" xfId="16072" xr:uid="{00000000-0005-0000-0000-0000574F0000}"/>
    <cellStyle name="Normal 6 4 2 3" xfId="16073" xr:uid="{00000000-0005-0000-0000-0000584F0000}"/>
    <cellStyle name="Normal 6 4 2 3 2" xfId="16074" xr:uid="{00000000-0005-0000-0000-0000594F0000}"/>
    <cellStyle name="Normal 6 4 2 3 2 2" xfId="16075" xr:uid="{00000000-0005-0000-0000-00005A4F0000}"/>
    <cellStyle name="Normal 6 4 2 3 2 2 2" xfId="16076" xr:uid="{00000000-0005-0000-0000-00005B4F0000}"/>
    <cellStyle name="Normal 6 4 2 3 2 2 2 2" xfId="16077" xr:uid="{00000000-0005-0000-0000-00005C4F0000}"/>
    <cellStyle name="Normal 6 4 2 3 2 2 2 2 2" xfId="16078" xr:uid="{00000000-0005-0000-0000-00005D4F0000}"/>
    <cellStyle name="Normal 6 4 2 3 2 2 2 3" xfId="16079" xr:uid="{00000000-0005-0000-0000-00005E4F0000}"/>
    <cellStyle name="Normal 6 4 2 3 2 2 3" xfId="16080" xr:uid="{00000000-0005-0000-0000-00005F4F0000}"/>
    <cellStyle name="Normal 6 4 2 3 2 2 3 2" xfId="16081" xr:uid="{00000000-0005-0000-0000-0000604F0000}"/>
    <cellStyle name="Normal 6 4 2 3 2 2 4" xfId="16082" xr:uid="{00000000-0005-0000-0000-0000614F0000}"/>
    <cellStyle name="Normal 6 4 2 3 2 3" xfId="16083" xr:uid="{00000000-0005-0000-0000-0000624F0000}"/>
    <cellStyle name="Normal 6 4 2 3 2 3 2" xfId="16084" xr:uid="{00000000-0005-0000-0000-0000634F0000}"/>
    <cellStyle name="Normal 6 4 2 3 2 3 2 2" xfId="16085" xr:uid="{00000000-0005-0000-0000-0000644F0000}"/>
    <cellStyle name="Normal 6 4 2 3 2 3 3" xfId="16086" xr:uid="{00000000-0005-0000-0000-0000654F0000}"/>
    <cellStyle name="Normal 6 4 2 3 2 4" xfId="16087" xr:uid="{00000000-0005-0000-0000-0000664F0000}"/>
    <cellStyle name="Normal 6 4 2 3 2 4 2" xfId="16088" xr:uid="{00000000-0005-0000-0000-0000674F0000}"/>
    <cellStyle name="Normal 6 4 2 3 2 5" xfId="16089" xr:uid="{00000000-0005-0000-0000-0000684F0000}"/>
    <cellStyle name="Normal 6 4 2 3 3" xfId="16090" xr:uid="{00000000-0005-0000-0000-0000694F0000}"/>
    <cellStyle name="Normal 6 4 2 3 3 2" xfId="16091" xr:uid="{00000000-0005-0000-0000-00006A4F0000}"/>
    <cellStyle name="Normal 6 4 2 3 3 2 2" xfId="16092" xr:uid="{00000000-0005-0000-0000-00006B4F0000}"/>
    <cellStyle name="Normal 6 4 2 3 3 2 2 2" xfId="16093" xr:uid="{00000000-0005-0000-0000-00006C4F0000}"/>
    <cellStyle name="Normal 6 4 2 3 3 2 3" xfId="16094" xr:uid="{00000000-0005-0000-0000-00006D4F0000}"/>
    <cellStyle name="Normal 6 4 2 3 3 3" xfId="16095" xr:uid="{00000000-0005-0000-0000-00006E4F0000}"/>
    <cellStyle name="Normal 6 4 2 3 3 3 2" xfId="16096" xr:uid="{00000000-0005-0000-0000-00006F4F0000}"/>
    <cellStyle name="Normal 6 4 2 3 3 4" xfId="16097" xr:uid="{00000000-0005-0000-0000-0000704F0000}"/>
    <cellStyle name="Normal 6 4 2 3 4" xfId="16098" xr:uid="{00000000-0005-0000-0000-0000714F0000}"/>
    <cellStyle name="Normal 6 4 2 3 4 2" xfId="16099" xr:uid="{00000000-0005-0000-0000-0000724F0000}"/>
    <cellStyle name="Normal 6 4 2 3 4 2 2" xfId="16100" xr:uid="{00000000-0005-0000-0000-0000734F0000}"/>
    <cellStyle name="Normal 6 4 2 3 4 3" xfId="16101" xr:uid="{00000000-0005-0000-0000-0000744F0000}"/>
    <cellStyle name="Normal 6 4 2 3 5" xfId="16102" xr:uid="{00000000-0005-0000-0000-0000754F0000}"/>
    <cellStyle name="Normal 6 4 2 3 5 2" xfId="16103" xr:uid="{00000000-0005-0000-0000-0000764F0000}"/>
    <cellStyle name="Normal 6 4 2 3 6" xfId="16104" xr:uid="{00000000-0005-0000-0000-0000774F0000}"/>
    <cellStyle name="Normal 6 4 2 4" xfId="16105" xr:uid="{00000000-0005-0000-0000-0000784F0000}"/>
    <cellStyle name="Normal 6 4 2 4 2" xfId="16106" xr:uid="{00000000-0005-0000-0000-0000794F0000}"/>
    <cellStyle name="Normal 6 4 2 4 2 2" xfId="16107" xr:uid="{00000000-0005-0000-0000-00007A4F0000}"/>
    <cellStyle name="Normal 6 4 2 4 2 2 2" xfId="16108" xr:uid="{00000000-0005-0000-0000-00007B4F0000}"/>
    <cellStyle name="Normal 6 4 2 4 2 2 2 2" xfId="16109" xr:uid="{00000000-0005-0000-0000-00007C4F0000}"/>
    <cellStyle name="Normal 6 4 2 4 2 2 3" xfId="16110" xr:uid="{00000000-0005-0000-0000-00007D4F0000}"/>
    <cellStyle name="Normal 6 4 2 4 2 3" xfId="16111" xr:uid="{00000000-0005-0000-0000-00007E4F0000}"/>
    <cellStyle name="Normal 6 4 2 4 2 3 2" xfId="16112" xr:uid="{00000000-0005-0000-0000-00007F4F0000}"/>
    <cellStyle name="Normal 6 4 2 4 2 4" xfId="16113" xr:uid="{00000000-0005-0000-0000-0000804F0000}"/>
    <cellStyle name="Normal 6 4 2 4 3" xfId="16114" xr:uid="{00000000-0005-0000-0000-0000814F0000}"/>
    <cellStyle name="Normal 6 4 2 4 3 2" xfId="16115" xr:uid="{00000000-0005-0000-0000-0000824F0000}"/>
    <cellStyle name="Normal 6 4 2 4 3 2 2" xfId="16116" xr:uid="{00000000-0005-0000-0000-0000834F0000}"/>
    <cellStyle name="Normal 6 4 2 4 3 3" xfId="16117" xr:uid="{00000000-0005-0000-0000-0000844F0000}"/>
    <cellStyle name="Normal 6 4 2 4 4" xfId="16118" xr:uid="{00000000-0005-0000-0000-0000854F0000}"/>
    <cellStyle name="Normal 6 4 2 4 4 2" xfId="16119" xr:uid="{00000000-0005-0000-0000-0000864F0000}"/>
    <cellStyle name="Normal 6 4 2 4 5" xfId="16120" xr:uid="{00000000-0005-0000-0000-0000874F0000}"/>
    <cellStyle name="Normal 6 4 2 5" xfId="16121" xr:uid="{00000000-0005-0000-0000-0000884F0000}"/>
    <cellStyle name="Normal 6 4 2 5 2" xfId="16122" xr:uid="{00000000-0005-0000-0000-0000894F0000}"/>
    <cellStyle name="Normal 6 4 2 5 2 2" xfId="16123" xr:uid="{00000000-0005-0000-0000-00008A4F0000}"/>
    <cellStyle name="Normal 6 4 2 5 2 2 2" xfId="16124" xr:uid="{00000000-0005-0000-0000-00008B4F0000}"/>
    <cellStyle name="Normal 6 4 2 5 2 3" xfId="16125" xr:uid="{00000000-0005-0000-0000-00008C4F0000}"/>
    <cellStyle name="Normal 6 4 2 5 3" xfId="16126" xr:uid="{00000000-0005-0000-0000-00008D4F0000}"/>
    <cellStyle name="Normal 6 4 2 5 3 2" xfId="16127" xr:uid="{00000000-0005-0000-0000-00008E4F0000}"/>
    <cellStyle name="Normal 6 4 2 5 4" xfId="16128" xr:uid="{00000000-0005-0000-0000-00008F4F0000}"/>
    <cellStyle name="Normal 6 4 2 6" xfId="16129" xr:uid="{00000000-0005-0000-0000-0000904F0000}"/>
    <cellStyle name="Normal 6 4 2 6 2" xfId="16130" xr:uid="{00000000-0005-0000-0000-0000914F0000}"/>
    <cellStyle name="Normal 6 4 2 6 2 2" xfId="16131" xr:uid="{00000000-0005-0000-0000-0000924F0000}"/>
    <cellStyle name="Normal 6 4 2 6 3" xfId="16132" xr:uid="{00000000-0005-0000-0000-0000934F0000}"/>
    <cellStyle name="Normal 6 4 2 7" xfId="16133" xr:uid="{00000000-0005-0000-0000-0000944F0000}"/>
    <cellStyle name="Normal 6 4 2 7 2" xfId="16134" xr:uid="{00000000-0005-0000-0000-0000954F0000}"/>
    <cellStyle name="Normal 6 4 2 8" xfId="16135" xr:uid="{00000000-0005-0000-0000-0000964F0000}"/>
    <cellStyle name="Normal 6 4 3" xfId="16136" xr:uid="{00000000-0005-0000-0000-0000974F0000}"/>
    <cellStyle name="Normal 6 4 3 2" xfId="16137" xr:uid="{00000000-0005-0000-0000-0000984F0000}"/>
    <cellStyle name="Normal 6 4 3 2 2" xfId="16138" xr:uid="{00000000-0005-0000-0000-0000994F0000}"/>
    <cellStyle name="Normal 6 4 3 2 2 2" xfId="16139" xr:uid="{00000000-0005-0000-0000-00009A4F0000}"/>
    <cellStyle name="Normal 6 4 3 2 2 2 2" xfId="16140" xr:uid="{00000000-0005-0000-0000-00009B4F0000}"/>
    <cellStyle name="Normal 6 4 3 2 2 2 2 2" xfId="16141" xr:uid="{00000000-0005-0000-0000-00009C4F0000}"/>
    <cellStyle name="Normal 6 4 3 2 2 2 2 2 2" xfId="16142" xr:uid="{00000000-0005-0000-0000-00009D4F0000}"/>
    <cellStyle name="Normal 6 4 3 2 2 2 2 3" xfId="16143" xr:uid="{00000000-0005-0000-0000-00009E4F0000}"/>
    <cellStyle name="Normal 6 4 3 2 2 2 3" xfId="16144" xr:uid="{00000000-0005-0000-0000-00009F4F0000}"/>
    <cellStyle name="Normal 6 4 3 2 2 2 3 2" xfId="16145" xr:uid="{00000000-0005-0000-0000-0000A04F0000}"/>
    <cellStyle name="Normal 6 4 3 2 2 2 4" xfId="16146" xr:uid="{00000000-0005-0000-0000-0000A14F0000}"/>
    <cellStyle name="Normal 6 4 3 2 2 3" xfId="16147" xr:uid="{00000000-0005-0000-0000-0000A24F0000}"/>
    <cellStyle name="Normal 6 4 3 2 2 3 2" xfId="16148" xr:uid="{00000000-0005-0000-0000-0000A34F0000}"/>
    <cellStyle name="Normal 6 4 3 2 2 3 2 2" xfId="16149" xr:uid="{00000000-0005-0000-0000-0000A44F0000}"/>
    <cellStyle name="Normal 6 4 3 2 2 3 3" xfId="16150" xr:uid="{00000000-0005-0000-0000-0000A54F0000}"/>
    <cellStyle name="Normal 6 4 3 2 2 4" xfId="16151" xr:uid="{00000000-0005-0000-0000-0000A64F0000}"/>
    <cellStyle name="Normal 6 4 3 2 2 4 2" xfId="16152" xr:uid="{00000000-0005-0000-0000-0000A74F0000}"/>
    <cellStyle name="Normal 6 4 3 2 2 5" xfId="16153" xr:uid="{00000000-0005-0000-0000-0000A84F0000}"/>
    <cellStyle name="Normal 6 4 3 2 3" xfId="16154" xr:uid="{00000000-0005-0000-0000-0000A94F0000}"/>
    <cellStyle name="Normal 6 4 3 2 3 2" xfId="16155" xr:uid="{00000000-0005-0000-0000-0000AA4F0000}"/>
    <cellStyle name="Normal 6 4 3 2 3 2 2" xfId="16156" xr:uid="{00000000-0005-0000-0000-0000AB4F0000}"/>
    <cellStyle name="Normal 6 4 3 2 3 2 2 2" xfId="16157" xr:uid="{00000000-0005-0000-0000-0000AC4F0000}"/>
    <cellStyle name="Normal 6 4 3 2 3 2 3" xfId="16158" xr:uid="{00000000-0005-0000-0000-0000AD4F0000}"/>
    <cellStyle name="Normal 6 4 3 2 3 3" xfId="16159" xr:uid="{00000000-0005-0000-0000-0000AE4F0000}"/>
    <cellStyle name="Normal 6 4 3 2 3 3 2" xfId="16160" xr:uid="{00000000-0005-0000-0000-0000AF4F0000}"/>
    <cellStyle name="Normal 6 4 3 2 3 4" xfId="16161" xr:uid="{00000000-0005-0000-0000-0000B04F0000}"/>
    <cellStyle name="Normal 6 4 3 2 4" xfId="16162" xr:uid="{00000000-0005-0000-0000-0000B14F0000}"/>
    <cellStyle name="Normal 6 4 3 2 4 2" xfId="16163" xr:uid="{00000000-0005-0000-0000-0000B24F0000}"/>
    <cellStyle name="Normal 6 4 3 2 4 2 2" xfId="16164" xr:uid="{00000000-0005-0000-0000-0000B34F0000}"/>
    <cellStyle name="Normal 6 4 3 2 4 3" xfId="16165" xr:uid="{00000000-0005-0000-0000-0000B44F0000}"/>
    <cellStyle name="Normal 6 4 3 2 5" xfId="16166" xr:uid="{00000000-0005-0000-0000-0000B54F0000}"/>
    <cellStyle name="Normal 6 4 3 2 5 2" xfId="16167" xr:uid="{00000000-0005-0000-0000-0000B64F0000}"/>
    <cellStyle name="Normal 6 4 3 2 6" xfId="16168" xr:uid="{00000000-0005-0000-0000-0000B74F0000}"/>
    <cellStyle name="Normal 6 4 3 3" xfId="16169" xr:uid="{00000000-0005-0000-0000-0000B84F0000}"/>
    <cellStyle name="Normal 6 4 3 3 2" xfId="16170" xr:uid="{00000000-0005-0000-0000-0000B94F0000}"/>
    <cellStyle name="Normal 6 4 3 3 2 2" xfId="16171" xr:uid="{00000000-0005-0000-0000-0000BA4F0000}"/>
    <cellStyle name="Normal 6 4 3 3 2 2 2" xfId="16172" xr:uid="{00000000-0005-0000-0000-0000BB4F0000}"/>
    <cellStyle name="Normal 6 4 3 3 2 2 2 2" xfId="16173" xr:uid="{00000000-0005-0000-0000-0000BC4F0000}"/>
    <cellStyle name="Normal 6 4 3 3 2 2 3" xfId="16174" xr:uid="{00000000-0005-0000-0000-0000BD4F0000}"/>
    <cellStyle name="Normal 6 4 3 3 2 3" xfId="16175" xr:uid="{00000000-0005-0000-0000-0000BE4F0000}"/>
    <cellStyle name="Normal 6 4 3 3 2 3 2" xfId="16176" xr:uid="{00000000-0005-0000-0000-0000BF4F0000}"/>
    <cellStyle name="Normal 6 4 3 3 2 4" xfId="16177" xr:uid="{00000000-0005-0000-0000-0000C04F0000}"/>
    <cellStyle name="Normal 6 4 3 3 3" xfId="16178" xr:uid="{00000000-0005-0000-0000-0000C14F0000}"/>
    <cellStyle name="Normal 6 4 3 3 3 2" xfId="16179" xr:uid="{00000000-0005-0000-0000-0000C24F0000}"/>
    <cellStyle name="Normal 6 4 3 3 3 2 2" xfId="16180" xr:uid="{00000000-0005-0000-0000-0000C34F0000}"/>
    <cellStyle name="Normal 6 4 3 3 3 3" xfId="16181" xr:uid="{00000000-0005-0000-0000-0000C44F0000}"/>
    <cellStyle name="Normal 6 4 3 3 4" xfId="16182" xr:uid="{00000000-0005-0000-0000-0000C54F0000}"/>
    <cellStyle name="Normal 6 4 3 3 4 2" xfId="16183" xr:uid="{00000000-0005-0000-0000-0000C64F0000}"/>
    <cellStyle name="Normal 6 4 3 3 5" xfId="16184" xr:uid="{00000000-0005-0000-0000-0000C74F0000}"/>
    <cellStyle name="Normal 6 4 3 4" xfId="16185" xr:uid="{00000000-0005-0000-0000-0000C84F0000}"/>
    <cellStyle name="Normal 6 4 3 4 2" xfId="16186" xr:uid="{00000000-0005-0000-0000-0000C94F0000}"/>
    <cellStyle name="Normal 6 4 3 4 2 2" xfId="16187" xr:uid="{00000000-0005-0000-0000-0000CA4F0000}"/>
    <cellStyle name="Normal 6 4 3 4 2 2 2" xfId="16188" xr:uid="{00000000-0005-0000-0000-0000CB4F0000}"/>
    <cellStyle name="Normal 6 4 3 4 2 3" xfId="16189" xr:uid="{00000000-0005-0000-0000-0000CC4F0000}"/>
    <cellStyle name="Normal 6 4 3 4 3" xfId="16190" xr:uid="{00000000-0005-0000-0000-0000CD4F0000}"/>
    <cellStyle name="Normal 6 4 3 4 3 2" xfId="16191" xr:uid="{00000000-0005-0000-0000-0000CE4F0000}"/>
    <cellStyle name="Normal 6 4 3 4 4" xfId="16192" xr:uid="{00000000-0005-0000-0000-0000CF4F0000}"/>
    <cellStyle name="Normal 6 4 3 5" xfId="16193" xr:uid="{00000000-0005-0000-0000-0000D04F0000}"/>
    <cellStyle name="Normal 6 4 3 5 2" xfId="16194" xr:uid="{00000000-0005-0000-0000-0000D14F0000}"/>
    <cellStyle name="Normal 6 4 3 5 2 2" xfId="16195" xr:uid="{00000000-0005-0000-0000-0000D24F0000}"/>
    <cellStyle name="Normal 6 4 3 5 3" xfId="16196" xr:uid="{00000000-0005-0000-0000-0000D34F0000}"/>
    <cellStyle name="Normal 6 4 3 6" xfId="16197" xr:uid="{00000000-0005-0000-0000-0000D44F0000}"/>
    <cellStyle name="Normal 6 4 3 6 2" xfId="16198" xr:uid="{00000000-0005-0000-0000-0000D54F0000}"/>
    <cellStyle name="Normal 6 4 3 7" xfId="16199" xr:uid="{00000000-0005-0000-0000-0000D64F0000}"/>
    <cellStyle name="Normal 6 4 4" xfId="16200" xr:uid="{00000000-0005-0000-0000-0000D74F0000}"/>
    <cellStyle name="Normal 6 4 4 2" xfId="16201" xr:uid="{00000000-0005-0000-0000-0000D84F0000}"/>
    <cellStyle name="Normal 6 4 4 2 2" xfId="16202" xr:uid="{00000000-0005-0000-0000-0000D94F0000}"/>
    <cellStyle name="Normal 6 4 4 2 2 2" xfId="16203" xr:uid="{00000000-0005-0000-0000-0000DA4F0000}"/>
    <cellStyle name="Normal 6 4 4 2 2 2 2" xfId="16204" xr:uid="{00000000-0005-0000-0000-0000DB4F0000}"/>
    <cellStyle name="Normal 6 4 4 2 2 2 2 2" xfId="16205" xr:uid="{00000000-0005-0000-0000-0000DC4F0000}"/>
    <cellStyle name="Normal 6 4 4 2 2 2 3" xfId="16206" xr:uid="{00000000-0005-0000-0000-0000DD4F0000}"/>
    <cellStyle name="Normal 6 4 4 2 2 3" xfId="16207" xr:uid="{00000000-0005-0000-0000-0000DE4F0000}"/>
    <cellStyle name="Normal 6 4 4 2 2 3 2" xfId="16208" xr:uid="{00000000-0005-0000-0000-0000DF4F0000}"/>
    <cellStyle name="Normal 6 4 4 2 2 4" xfId="16209" xr:uid="{00000000-0005-0000-0000-0000E04F0000}"/>
    <cellStyle name="Normal 6 4 4 2 3" xfId="16210" xr:uid="{00000000-0005-0000-0000-0000E14F0000}"/>
    <cellStyle name="Normal 6 4 4 2 3 2" xfId="16211" xr:uid="{00000000-0005-0000-0000-0000E24F0000}"/>
    <cellStyle name="Normal 6 4 4 2 3 2 2" xfId="16212" xr:uid="{00000000-0005-0000-0000-0000E34F0000}"/>
    <cellStyle name="Normal 6 4 4 2 3 3" xfId="16213" xr:uid="{00000000-0005-0000-0000-0000E44F0000}"/>
    <cellStyle name="Normal 6 4 4 2 4" xfId="16214" xr:uid="{00000000-0005-0000-0000-0000E54F0000}"/>
    <cellStyle name="Normal 6 4 4 2 4 2" xfId="16215" xr:uid="{00000000-0005-0000-0000-0000E64F0000}"/>
    <cellStyle name="Normal 6 4 4 2 5" xfId="16216" xr:uid="{00000000-0005-0000-0000-0000E74F0000}"/>
    <cellStyle name="Normal 6 4 4 3" xfId="16217" xr:uid="{00000000-0005-0000-0000-0000E84F0000}"/>
    <cellStyle name="Normal 6 4 4 3 2" xfId="16218" xr:uid="{00000000-0005-0000-0000-0000E94F0000}"/>
    <cellStyle name="Normal 6 4 4 3 2 2" xfId="16219" xr:uid="{00000000-0005-0000-0000-0000EA4F0000}"/>
    <cellStyle name="Normal 6 4 4 3 2 2 2" xfId="16220" xr:uid="{00000000-0005-0000-0000-0000EB4F0000}"/>
    <cellStyle name="Normal 6 4 4 3 2 3" xfId="16221" xr:uid="{00000000-0005-0000-0000-0000EC4F0000}"/>
    <cellStyle name="Normal 6 4 4 3 3" xfId="16222" xr:uid="{00000000-0005-0000-0000-0000ED4F0000}"/>
    <cellStyle name="Normal 6 4 4 3 3 2" xfId="16223" xr:uid="{00000000-0005-0000-0000-0000EE4F0000}"/>
    <cellStyle name="Normal 6 4 4 3 4" xfId="16224" xr:uid="{00000000-0005-0000-0000-0000EF4F0000}"/>
    <cellStyle name="Normal 6 4 4 4" xfId="16225" xr:uid="{00000000-0005-0000-0000-0000F04F0000}"/>
    <cellStyle name="Normal 6 4 4 4 2" xfId="16226" xr:uid="{00000000-0005-0000-0000-0000F14F0000}"/>
    <cellStyle name="Normal 6 4 4 4 2 2" xfId="16227" xr:uid="{00000000-0005-0000-0000-0000F24F0000}"/>
    <cellStyle name="Normal 6 4 4 4 3" xfId="16228" xr:uid="{00000000-0005-0000-0000-0000F34F0000}"/>
    <cellStyle name="Normal 6 4 4 5" xfId="16229" xr:uid="{00000000-0005-0000-0000-0000F44F0000}"/>
    <cellStyle name="Normal 6 4 4 5 2" xfId="16230" xr:uid="{00000000-0005-0000-0000-0000F54F0000}"/>
    <cellStyle name="Normal 6 4 4 6" xfId="16231" xr:uid="{00000000-0005-0000-0000-0000F64F0000}"/>
    <cellStyle name="Normal 6 4 5" xfId="16232" xr:uid="{00000000-0005-0000-0000-0000F74F0000}"/>
    <cellStyle name="Normal 6 4 5 2" xfId="16233" xr:uid="{00000000-0005-0000-0000-0000F84F0000}"/>
    <cellStyle name="Normal 6 4 5 2 2" xfId="16234" xr:uid="{00000000-0005-0000-0000-0000F94F0000}"/>
    <cellStyle name="Normal 6 4 5 2 2 2" xfId="16235" xr:uid="{00000000-0005-0000-0000-0000FA4F0000}"/>
    <cellStyle name="Normal 6 4 5 2 2 2 2" xfId="16236" xr:uid="{00000000-0005-0000-0000-0000FB4F0000}"/>
    <cellStyle name="Normal 6 4 5 2 2 3" xfId="16237" xr:uid="{00000000-0005-0000-0000-0000FC4F0000}"/>
    <cellStyle name="Normal 6 4 5 2 3" xfId="16238" xr:uid="{00000000-0005-0000-0000-0000FD4F0000}"/>
    <cellStyle name="Normal 6 4 5 2 3 2" xfId="16239" xr:uid="{00000000-0005-0000-0000-0000FE4F0000}"/>
    <cellStyle name="Normal 6 4 5 2 4" xfId="16240" xr:uid="{00000000-0005-0000-0000-0000FF4F0000}"/>
    <cellStyle name="Normal 6 4 5 3" xfId="16241" xr:uid="{00000000-0005-0000-0000-000000500000}"/>
    <cellStyle name="Normal 6 4 5 3 2" xfId="16242" xr:uid="{00000000-0005-0000-0000-000001500000}"/>
    <cellStyle name="Normal 6 4 5 3 2 2" xfId="16243" xr:uid="{00000000-0005-0000-0000-000002500000}"/>
    <cellStyle name="Normal 6 4 5 3 3" xfId="16244" xr:uid="{00000000-0005-0000-0000-000003500000}"/>
    <cellStyle name="Normal 6 4 5 4" xfId="16245" xr:uid="{00000000-0005-0000-0000-000004500000}"/>
    <cellStyle name="Normal 6 4 5 4 2" xfId="16246" xr:uid="{00000000-0005-0000-0000-000005500000}"/>
    <cellStyle name="Normal 6 4 5 5" xfId="16247" xr:uid="{00000000-0005-0000-0000-000006500000}"/>
    <cellStyle name="Normal 6 4 6" xfId="16248" xr:uid="{00000000-0005-0000-0000-000007500000}"/>
    <cellStyle name="Normal 6 4 6 2" xfId="16249" xr:uid="{00000000-0005-0000-0000-000008500000}"/>
    <cellStyle name="Normal 6 4 6 2 2" xfId="16250" xr:uid="{00000000-0005-0000-0000-000009500000}"/>
    <cellStyle name="Normal 6 4 6 2 2 2" xfId="16251" xr:uid="{00000000-0005-0000-0000-00000A500000}"/>
    <cellStyle name="Normal 6 4 6 2 3" xfId="16252" xr:uid="{00000000-0005-0000-0000-00000B500000}"/>
    <cellStyle name="Normal 6 4 6 3" xfId="16253" xr:uid="{00000000-0005-0000-0000-00000C500000}"/>
    <cellStyle name="Normal 6 4 6 3 2" xfId="16254" xr:uid="{00000000-0005-0000-0000-00000D500000}"/>
    <cellStyle name="Normal 6 4 6 4" xfId="16255" xr:uid="{00000000-0005-0000-0000-00000E500000}"/>
    <cellStyle name="Normal 6 4 7" xfId="16256" xr:uid="{00000000-0005-0000-0000-00000F500000}"/>
    <cellStyle name="Normal 6 4 7 2" xfId="16257" xr:uid="{00000000-0005-0000-0000-000010500000}"/>
    <cellStyle name="Normal 6 4 7 2 2" xfId="16258" xr:uid="{00000000-0005-0000-0000-000011500000}"/>
    <cellStyle name="Normal 6 4 7 3" xfId="16259" xr:uid="{00000000-0005-0000-0000-000012500000}"/>
    <cellStyle name="Normal 6 4 8" xfId="16260" xr:uid="{00000000-0005-0000-0000-000013500000}"/>
    <cellStyle name="Normal 6 4 8 2" xfId="16261" xr:uid="{00000000-0005-0000-0000-000014500000}"/>
    <cellStyle name="Normal 6 4 9" xfId="16262" xr:uid="{00000000-0005-0000-0000-000015500000}"/>
    <cellStyle name="Normal 6 5" xfId="16263" xr:uid="{00000000-0005-0000-0000-000016500000}"/>
    <cellStyle name="Normal 6 5 2" xfId="16264" xr:uid="{00000000-0005-0000-0000-000017500000}"/>
    <cellStyle name="Normal 6 5 2 2" xfId="16265" xr:uid="{00000000-0005-0000-0000-000018500000}"/>
    <cellStyle name="Normal 6 5 2 2 2" xfId="16266" xr:uid="{00000000-0005-0000-0000-000019500000}"/>
    <cellStyle name="Normal 6 5 2 2 2 2" xfId="16267" xr:uid="{00000000-0005-0000-0000-00001A500000}"/>
    <cellStyle name="Normal 6 5 2 2 2 2 2" xfId="16268" xr:uid="{00000000-0005-0000-0000-00001B500000}"/>
    <cellStyle name="Normal 6 5 2 2 2 2 2 2" xfId="16269" xr:uid="{00000000-0005-0000-0000-00001C500000}"/>
    <cellStyle name="Normal 6 5 2 2 2 2 2 2 2" xfId="16270" xr:uid="{00000000-0005-0000-0000-00001D500000}"/>
    <cellStyle name="Normal 6 5 2 2 2 2 2 3" xfId="16271" xr:uid="{00000000-0005-0000-0000-00001E500000}"/>
    <cellStyle name="Normal 6 5 2 2 2 2 3" xfId="16272" xr:uid="{00000000-0005-0000-0000-00001F500000}"/>
    <cellStyle name="Normal 6 5 2 2 2 2 3 2" xfId="16273" xr:uid="{00000000-0005-0000-0000-000020500000}"/>
    <cellStyle name="Normal 6 5 2 2 2 2 4" xfId="16274" xr:uid="{00000000-0005-0000-0000-000021500000}"/>
    <cellStyle name="Normal 6 5 2 2 2 3" xfId="16275" xr:uid="{00000000-0005-0000-0000-000022500000}"/>
    <cellStyle name="Normal 6 5 2 2 2 3 2" xfId="16276" xr:uid="{00000000-0005-0000-0000-000023500000}"/>
    <cellStyle name="Normal 6 5 2 2 2 3 2 2" xfId="16277" xr:uid="{00000000-0005-0000-0000-000024500000}"/>
    <cellStyle name="Normal 6 5 2 2 2 3 3" xfId="16278" xr:uid="{00000000-0005-0000-0000-000025500000}"/>
    <cellStyle name="Normal 6 5 2 2 2 4" xfId="16279" xr:uid="{00000000-0005-0000-0000-000026500000}"/>
    <cellStyle name="Normal 6 5 2 2 2 4 2" xfId="16280" xr:uid="{00000000-0005-0000-0000-000027500000}"/>
    <cellStyle name="Normal 6 5 2 2 2 5" xfId="16281" xr:uid="{00000000-0005-0000-0000-000028500000}"/>
    <cellStyle name="Normal 6 5 2 2 3" xfId="16282" xr:uid="{00000000-0005-0000-0000-000029500000}"/>
    <cellStyle name="Normal 6 5 2 2 3 2" xfId="16283" xr:uid="{00000000-0005-0000-0000-00002A500000}"/>
    <cellStyle name="Normal 6 5 2 2 3 2 2" xfId="16284" xr:uid="{00000000-0005-0000-0000-00002B500000}"/>
    <cellStyle name="Normal 6 5 2 2 3 2 2 2" xfId="16285" xr:uid="{00000000-0005-0000-0000-00002C500000}"/>
    <cellStyle name="Normal 6 5 2 2 3 2 3" xfId="16286" xr:uid="{00000000-0005-0000-0000-00002D500000}"/>
    <cellStyle name="Normal 6 5 2 2 3 3" xfId="16287" xr:uid="{00000000-0005-0000-0000-00002E500000}"/>
    <cellStyle name="Normal 6 5 2 2 3 3 2" xfId="16288" xr:uid="{00000000-0005-0000-0000-00002F500000}"/>
    <cellStyle name="Normal 6 5 2 2 3 4" xfId="16289" xr:uid="{00000000-0005-0000-0000-000030500000}"/>
    <cellStyle name="Normal 6 5 2 2 4" xfId="16290" xr:uid="{00000000-0005-0000-0000-000031500000}"/>
    <cellStyle name="Normal 6 5 2 2 4 2" xfId="16291" xr:uid="{00000000-0005-0000-0000-000032500000}"/>
    <cellStyle name="Normal 6 5 2 2 4 2 2" xfId="16292" xr:uid="{00000000-0005-0000-0000-000033500000}"/>
    <cellStyle name="Normal 6 5 2 2 4 3" xfId="16293" xr:uid="{00000000-0005-0000-0000-000034500000}"/>
    <cellStyle name="Normal 6 5 2 2 5" xfId="16294" xr:uid="{00000000-0005-0000-0000-000035500000}"/>
    <cellStyle name="Normal 6 5 2 2 5 2" xfId="16295" xr:uid="{00000000-0005-0000-0000-000036500000}"/>
    <cellStyle name="Normal 6 5 2 2 6" xfId="16296" xr:uid="{00000000-0005-0000-0000-000037500000}"/>
    <cellStyle name="Normal 6 5 2 3" xfId="16297" xr:uid="{00000000-0005-0000-0000-000038500000}"/>
    <cellStyle name="Normal 6 5 2 3 2" xfId="16298" xr:uid="{00000000-0005-0000-0000-000039500000}"/>
    <cellStyle name="Normal 6 5 2 3 2 2" xfId="16299" xr:uid="{00000000-0005-0000-0000-00003A500000}"/>
    <cellStyle name="Normal 6 5 2 3 2 2 2" xfId="16300" xr:uid="{00000000-0005-0000-0000-00003B500000}"/>
    <cellStyle name="Normal 6 5 2 3 2 2 2 2" xfId="16301" xr:uid="{00000000-0005-0000-0000-00003C500000}"/>
    <cellStyle name="Normal 6 5 2 3 2 2 3" xfId="16302" xr:uid="{00000000-0005-0000-0000-00003D500000}"/>
    <cellStyle name="Normal 6 5 2 3 2 3" xfId="16303" xr:uid="{00000000-0005-0000-0000-00003E500000}"/>
    <cellStyle name="Normal 6 5 2 3 2 3 2" xfId="16304" xr:uid="{00000000-0005-0000-0000-00003F500000}"/>
    <cellStyle name="Normal 6 5 2 3 2 4" xfId="16305" xr:uid="{00000000-0005-0000-0000-000040500000}"/>
    <cellStyle name="Normal 6 5 2 3 3" xfId="16306" xr:uid="{00000000-0005-0000-0000-000041500000}"/>
    <cellStyle name="Normal 6 5 2 3 3 2" xfId="16307" xr:uid="{00000000-0005-0000-0000-000042500000}"/>
    <cellStyle name="Normal 6 5 2 3 3 2 2" xfId="16308" xr:uid="{00000000-0005-0000-0000-000043500000}"/>
    <cellStyle name="Normal 6 5 2 3 3 3" xfId="16309" xr:uid="{00000000-0005-0000-0000-000044500000}"/>
    <cellStyle name="Normal 6 5 2 3 4" xfId="16310" xr:uid="{00000000-0005-0000-0000-000045500000}"/>
    <cellStyle name="Normal 6 5 2 3 4 2" xfId="16311" xr:uid="{00000000-0005-0000-0000-000046500000}"/>
    <cellStyle name="Normal 6 5 2 3 5" xfId="16312" xr:uid="{00000000-0005-0000-0000-000047500000}"/>
    <cellStyle name="Normal 6 5 2 4" xfId="16313" xr:uid="{00000000-0005-0000-0000-000048500000}"/>
    <cellStyle name="Normal 6 5 2 4 2" xfId="16314" xr:uid="{00000000-0005-0000-0000-000049500000}"/>
    <cellStyle name="Normal 6 5 2 4 2 2" xfId="16315" xr:uid="{00000000-0005-0000-0000-00004A500000}"/>
    <cellStyle name="Normal 6 5 2 4 2 2 2" xfId="16316" xr:uid="{00000000-0005-0000-0000-00004B500000}"/>
    <cellStyle name="Normal 6 5 2 4 2 3" xfId="16317" xr:uid="{00000000-0005-0000-0000-00004C500000}"/>
    <cellStyle name="Normal 6 5 2 4 3" xfId="16318" xr:uid="{00000000-0005-0000-0000-00004D500000}"/>
    <cellStyle name="Normal 6 5 2 4 3 2" xfId="16319" xr:uid="{00000000-0005-0000-0000-00004E500000}"/>
    <cellStyle name="Normal 6 5 2 4 4" xfId="16320" xr:uid="{00000000-0005-0000-0000-00004F500000}"/>
    <cellStyle name="Normal 6 5 2 5" xfId="16321" xr:uid="{00000000-0005-0000-0000-000050500000}"/>
    <cellStyle name="Normal 6 5 2 5 2" xfId="16322" xr:uid="{00000000-0005-0000-0000-000051500000}"/>
    <cellStyle name="Normal 6 5 2 5 2 2" xfId="16323" xr:uid="{00000000-0005-0000-0000-000052500000}"/>
    <cellStyle name="Normal 6 5 2 5 3" xfId="16324" xr:uid="{00000000-0005-0000-0000-000053500000}"/>
    <cellStyle name="Normal 6 5 2 6" xfId="16325" xr:uid="{00000000-0005-0000-0000-000054500000}"/>
    <cellStyle name="Normal 6 5 2 6 2" xfId="16326" xr:uid="{00000000-0005-0000-0000-000055500000}"/>
    <cellStyle name="Normal 6 5 2 7" xfId="16327" xr:uid="{00000000-0005-0000-0000-000056500000}"/>
    <cellStyle name="Normal 6 5 3" xfId="16328" xr:uid="{00000000-0005-0000-0000-000057500000}"/>
    <cellStyle name="Normal 6 5 3 2" xfId="16329" xr:uid="{00000000-0005-0000-0000-000058500000}"/>
    <cellStyle name="Normal 6 5 3 2 2" xfId="16330" xr:uid="{00000000-0005-0000-0000-000059500000}"/>
    <cellStyle name="Normal 6 5 3 2 2 2" xfId="16331" xr:uid="{00000000-0005-0000-0000-00005A500000}"/>
    <cellStyle name="Normal 6 5 3 2 2 2 2" xfId="16332" xr:uid="{00000000-0005-0000-0000-00005B500000}"/>
    <cellStyle name="Normal 6 5 3 2 2 2 2 2" xfId="16333" xr:uid="{00000000-0005-0000-0000-00005C500000}"/>
    <cellStyle name="Normal 6 5 3 2 2 2 3" xfId="16334" xr:uid="{00000000-0005-0000-0000-00005D500000}"/>
    <cellStyle name="Normal 6 5 3 2 2 3" xfId="16335" xr:uid="{00000000-0005-0000-0000-00005E500000}"/>
    <cellStyle name="Normal 6 5 3 2 2 3 2" xfId="16336" xr:uid="{00000000-0005-0000-0000-00005F500000}"/>
    <cellStyle name="Normal 6 5 3 2 2 4" xfId="16337" xr:uid="{00000000-0005-0000-0000-000060500000}"/>
    <cellStyle name="Normal 6 5 3 2 3" xfId="16338" xr:uid="{00000000-0005-0000-0000-000061500000}"/>
    <cellStyle name="Normal 6 5 3 2 3 2" xfId="16339" xr:uid="{00000000-0005-0000-0000-000062500000}"/>
    <cellStyle name="Normal 6 5 3 2 3 2 2" xfId="16340" xr:uid="{00000000-0005-0000-0000-000063500000}"/>
    <cellStyle name="Normal 6 5 3 2 3 3" xfId="16341" xr:uid="{00000000-0005-0000-0000-000064500000}"/>
    <cellStyle name="Normal 6 5 3 2 4" xfId="16342" xr:uid="{00000000-0005-0000-0000-000065500000}"/>
    <cellStyle name="Normal 6 5 3 2 4 2" xfId="16343" xr:uid="{00000000-0005-0000-0000-000066500000}"/>
    <cellStyle name="Normal 6 5 3 2 5" xfId="16344" xr:uid="{00000000-0005-0000-0000-000067500000}"/>
    <cellStyle name="Normal 6 5 3 3" xfId="16345" xr:uid="{00000000-0005-0000-0000-000068500000}"/>
    <cellStyle name="Normal 6 5 3 3 2" xfId="16346" xr:uid="{00000000-0005-0000-0000-000069500000}"/>
    <cellStyle name="Normal 6 5 3 3 2 2" xfId="16347" xr:uid="{00000000-0005-0000-0000-00006A500000}"/>
    <cellStyle name="Normal 6 5 3 3 2 2 2" xfId="16348" xr:uid="{00000000-0005-0000-0000-00006B500000}"/>
    <cellStyle name="Normal 6 5 3 3 2 3" xfId="16349" xr:uid="{00000000-0005-0000-0000-00006C500000}"/>
    <cellStyle name="Normal 6 5 3 3 3" xfId="16350" xr:uid="{00000000-0005-0000-0000-00006D500000}"/>
    <cellStyle name="Normal 6 5 3 3 3 2" xfId="16351" xr:uid="{00000000-0005-0000-0000-00006E500000}"/>
    <cellStyle name="Normal 6 5 3 3 4" xfId="16352" xr:uid="{00000000-0005-0000-0000-00006F500000}"/>
    <cellStyle name="Normal 6 5 3 4" xfId="16353" xr:uid="{00000000-0005-0000-0000-000070500000}"/>
    <cellStyle name="Normal 6 5 3 4 2" xfId="16354" xr:uid="{00000000-0005-0000-0000-000071500000}"/>
    <cellStyle name="Normal 6 5 3 4 2 2" xfId="16355" xr:uid="{00000000-0005-0000-0000-000072500000}"/>
    <cellStyle name="Normal 6 5 3 4 3" xfId="16356" xr:uid="{00000000-0005-0000-0000-000073500000}"/>
    <cellStyle name="Normal 6 5 3 5" xfId="16357" xr:uid="{00000000-0005-0000-0000-000074500000}"/>
    <cellStyle name="Normal 6 5 3 5 2" xfId="16358" xr:uid="{00000000-0005-0000-0000-000075500000}"/>
    <cellStyle name="Normal 6 5 3 6" xfId="16359" xr:uid="{00000000-0005-0000-0000-000076500000}"/>
    <cellStyle name="Normal 6 5 4" xfId="16360" xr:uid="{00000000-0005-0000-0000-000077500000}"/>
    <cellStyle name="Normal 6 5 4 2" xfId="16361" xr:uid="{00000000-0005-0000-0000-000078500000}"/>
    <cellStyle name="Normal 6 5 4 2 2" xfId="16362" xr:uid="{00000000-0005-0000-0000-000079500000}"/>
    <cellStyle name="Normal 6 5 4 2 2 2" xfId="16363" xr:uid="{00000000-0005-0000-0000-00007A500000}"/>
    <cellStyle name="Normal 6 5 4 2 2 2 2" xfId="16364" xr:uid="{00000000-0005-0000-0000-00007B500000}"/>
    <cellStyle name="Normal 6 5 4 2 2 3" xfId="16365" xr:uid="{00000000-0005-0000-0000-00007C500000}"/>
    <cellStyle name="Normal 6 5 4 2 3" xfId="16366" xr:uid="{00000000-0005-0000-0000-00007D500000}"/>
    <cellStyle name="Normal 6 5 4 2 3 2" xfId="16367" xr:uid="{00000000-0005-0000-0000-00007E500000}"/>
    <cellStyle name="Normal 6 5 4 2 4" xfId="16368" xr:uid="{00000000-0005-0000-0000-00007F500000}"/>
    <cellStyle name="Normal 6 5 4 3" xfId="16369" xr:uid="{00000000-0005-0000-0000-000080500000}"/>
    <cellStyle name="Normal 6 5 4 3 2" xfId="16370" xr:uid="{00000000-0005-0000-0000-000081500000}"/>
    <cellStyle name="Normal 6 5 4 3 2 2" xfId="16371" xr:uid="{00000000-0005-0000-0000-000082500000}"/>
    <cellStyle name="Normal 6 5 4 3 3" xfId="16372" xr:uid="{00000000-0005-0000-0000-000083500000}"/>
    <cellStyle name="Normal 6 5 4 4" xfId="16373" xr:uid="{00000000-0005-0000-0000-000084500000}"/>
    <cellStyle name="Normal 6 5 4 4 2" xfId="16374" xr:uid="{00000000-0005-0000-0000-000085500000}"/>
    <cellStyle name="Normal 6 5 4 5" xfId="16375" xr:uid="{00000000-0005-0000-0000-000086500000}"/>
    <cellStyle name="Normal 6 5 5" xfId="16376" xr:uid="{00000000-0005-0000-0000-000087500000}"/>
    <cellStyle name="Normal 6 5 5 2" xfId="16377" xr:uid="{00000000-0005-0000-0000-000088500000}"/>
    <cellStyle name="Normal 6 5 5 2 2" xfId="16378" xr:uid="{00000000-0005-0000-0000-000089500000}"/>
    <cellStyle name="Normal 6 5 5 2 2 2" xfId="16379" xr:uid="{00000000-0005-0000-0000-00008A500000}"/>
    <cellStyle name="Normal 6 5 5 2 3" xfId="16380" xr:uid="{00000000-0005-0000-0000-00008B500000}"/>
    <cellStyle name="Normal 6 5 5 3" xfId="16381" xr:uid="{00000000-0005-0000-0000-00008C500000}"/>
    <cellStyle name="Normal 6 5 5 3 2" xfId="16382" xr:uid="{00000000-0005-0000-0000-00008D500000}"/>
    <cellStyle name="Normal 6 5 5 4" xfId="16383" xr:uid="{00000000-0005-0000-0000-00008E500000}"/>
    <cellStyle name="Normal 6 5 6" xfId="16384" xr:uid="{00000000-0005-0000-0000-00008F500000}"/>
    <cellStyle name="Normal 6 5 6 2" xfId="16385" xr:uid="{00000000-0005-0000-0000-000090500000}"/>
    <cellStyle name="Normal 6 5 6 2 2" xfId="16386" xr:uid="{00000000-0005-0000-0000-000091500000}"/>
    <cellStyle name="Normal 6 5 6 3" xfId="16387" xr:uid="{00000000-0005-0000-0000-000092500000}"/>
    <cellStyle name="Normal 6 5 7" xfId="16388" xr:uid="{00000000-0005-0000-0000-000093500000}"/>
    <cellStyle name="Normal 6 5 7 2" xfId="16389" xr:uid="{00000000-0005-0000-0000-000094500000}"/>
    <cellStyle name="Normal 6 5 8" xfId="16390" xr:uid="{00000000-0005-0000-0000-000095500000}"/>
    <cellStyle name="Normal 6 6" xfId="16391" xr:uid="{00000000-0005-0000-0000-000096500000}"/>
    <cellStyle name="Normal 6 6 2" xfId="16392" xr:uid="{00000000-0005-0000-0000-000097500000}"/>
    <cellStyle name="Normal 6 6 2 2" xfId="16393" xr:uid="{00000000-0005-0000-0000-000098500000}"/>
    <cellStyle name="Normal 6 6 2 2 2" xfId="16394" xr:uid="{00000000-0005-0000-0000-000099500000}"/>
    <cellStyle name="Normal 6 6 2 2 2 2" xfId="16395" xr:uid="{00000000-0005-0000-0000-00009A500000}"/>
    <cellStyle name="Normal 6 6 2 2 2 2 2" xfId="16396" xr:uid="{00000000-0005-0000-0000-00009B500000}"/>
    <cellStyle name="Normal 6 6 2 2 2 2 2 2" xfId="16397" xr:uid="{00000000-0005-0000-0000-00009C500000}"/>
    <cellStyle name="Normal 6 6 2 2 2 2 3" xfId="16398" xr:uid="{00000000-0005-0000-0000-00009D500000}"/>
    <cellStyle name="Normal 6 6 2 2 2 3" xfId="16399" xr:uid="{00000000-0005-0000-0000-00009E500000}"/>
    <cellStyle name="Normal 6 6 2 2 2 3 2" xfId="16400" xr:uid="{00000000-0005-0000-0000-00009F500000}"/>
    <cellStyle name="Normal 6 6 2 2 2 4" xfId="16401" xr:uid="{00000000-0005-0000-0000-0000A0500000}"/>
    <cellStyle name="Normal 6 6 2 2 3" xfId="16402" xr:uid="{00000000-0005-0000-0000-0000A1500000}"/>
    <cellStyle name="Normal 6 6 2 2 3 2" xfId="16403" xr:uid="{00000000-0005-0000-0000-0000A2500000}"/>
    <cellStyle name="Normal 6 6 2 2 3 2 2" xfId="16404" xr:uid="{00000000-0005-0000-0000-0000A3500000}"/>
    <cellStyle name="Normal 6 6 2 2 3 3" xfId="16405" xr:uid="{00000000-0005-0000-0000-0000A4500000}"/>
    <cellStyle name="Normal 6 6 2 2 4" xfId="16406" xr:uid="{00000000-0005-0000-0000-0000A5500000}"/>
    <cellStyle name="Normal 6 6 2 2 4 2" xfId="16407" xr:uid="{00000000-0005-0000-0000-0000A6500000}"/>
    <cellStyle name="Normal 6 6 2 2 5" xfId="16408" xr:uid="{00000000-0005-0000-0000-0000A7500000}"/>
    <cellStyle name="Normal 6 6 2 3" xfId="16409" xr:uid="{00000000-0005-0000-0000-0000A8500000}"/>
    <cellStyle name="Normal 6 6 2 3 2" xfId="16410" xr:uid="{00000000-0005-0000-0000-0000A9500000}"/>
    <cellStyle name="Normal 6 6 2 3 2 2" xfId="16411" xr:uid="{00000000-0005-0000-0000-0000AA500000}"/>
    <cellStyle name="Normal 6 6 2 3 2 2 2" xfId="16412" xr:uid="{00000000-0005-0000-0000-0000AB500000}"/>
    <cellStyle name="Normal 6 6 2 3 2 3" xfId="16413" xr:uid="{00000000-0005-0000-0000-0000AC500000}"/>
    <cellStyle name="Normal 6 6 2 3 3" xfId="16414" xr:uid="{00000000-0005-0000-0000-0000AD500000}"/>
    <cellStyle name="Normal 6 6 2 3 3 2" xfId="16415" xr:uid="{00000000-0005-0000-0000-0000AE500000}"/>
    <cellStyle name="Normal 6 6 2 3 4" xfId="16416" xr:uid="{00000000-0005-0000-0000-0000AF500000}"/>
    <cellStyle name="Normal 6 6 2 4" xfId="16417" xr:uid="{00000000-0005-0000-0000-0000B0500000}"/>
    <cellStyle name="Normal 6 6 2 4 2" xfId="16418" xr:uid="{00000000-0005-0000-0000-0000B1500000}"/>
    <cellStyle name="Normal 6 6 2 4 2 2" xfId="16419" xr:uid="{00000000-0005-0000-0000-0000B2500000}"/>
    <cellStyle name="Normal 6 6 2 4 3" xfId="16420" xr:uid="{00000000-0005-0000-0000-0000B3500000}"/>
    <cellStyle name="Normal 6 6 2 5" xfId="16421" xr:uid="{00000000-0005-0000-0000-0000B4500000}"/>
    <cellStyle name="Normal 6 6 2 5 2" xfId="16422" xr:uid="{00000000-0005-0000-0000-0000B5500000}"/>
    <cellStyle name="Normal 6 6 2 6" xfId="16423" xr:uid="{00000000-0005-0000-0000-0000B6500000}"/>
    <cellStyle name="Normal 6 6 3" xfId="16424" xr:uid="{00000000-0005-0000-0000-0000B7500000}"/>
    <cellStyle name="Normal 6 6 3 2" xfId="16425" xr:uid="{00000000-0005-0000-0000-0000B8500000}"/>
    <cellStyle name="Normal 6 6 3 2 2" xfId="16426" xr:uid="{00000000-0005-0000-0000-0000B9500000}"/>
    <cellStyle name="Normal 6 6 3 2 2 2" xfId="16427" xr:uid="{00000000-0005-0000-0000-0000BA500000}"/>
    <cellStyle name="Normal 6 6 3 2 2 2 2" xfId="16428" xr:uid="{00000000-0005-0000-0000-0000BB500000}"/>
    <cellStyle name="Normal 6 6 3 2 2 3" xfId="16429" xr:uid="{00000000-0005-0000-0000-0000BC500000}"/>
    <cellStyle name="Normal 6 6 3 2 3" xfId="16430" xr:uid="{00000000-0005-0000-0000-0000BD500000}"/>
    <cellStyle name="Normal 6 6 3 2 3 2" xfId="16431" xr:uid="{00000000-0005-0000-0000-0000BE500000}"/>
    <cellStyle name="Normal 6 6 3 2 4" xfId="16432" xr:uid="{00000000-0005-0000-0000-0000BF500000}"/>
    <cellStyle name="Normal 6 6 3 3" xfId="16433" xr:uid="{00000000-0005-0000-0000-0000C0500000}"/>
    <cellStyle name="Normal 6 6 3 3 2" xfId="16434" xr:uid="{00000000-0005-0000-0000-0000C1500000}"/>
    <cellStyle name="Normal 6 6 3 3 2 2" xfId="16435" xr:uid="{00000000-0005-0000-0000-0000C2500000}"/>
    <cellStyle name="Normal 6 6 3 3 3" xfId="16436" xr:uid="{00000000-0005-0000-0000-0000C3500000}"/>
    <cellStyle name="Normal 6 6 3 4" xfId="16437" xr:uid="{00000000-0005-0000-0000-0000C4500000}"/>
    <cellStyle name="Normal 6 6 3 4 2" xfId="16438" xr:uid="{00000000-0005-0000-0000-0000C5500000}"/>
    <cellStyle name="Normal 6 6 3 5" xfId="16439" xr:uid="{00000000-0005-0000-0000-0000C6500000}"/>
    <cellStyle name="Normal 6 6 4" xfId="16440" xr:uid="{00000000-0005-0000-0000-0000C7500000}"/>
    <cellStyle name="Normal 6 6 4 2" xfId="16441" xr:uid="{00000000-0005-0000-0000-0000C8500000}"/>
    <cellStyle name="Normal 6 6 4 2 2" xfId="16442" xr:uid="{00000000-0005-0000-0000-0000C9500000}"/>
    <cellStyle name="Normal 6 6 4 2 2 2" xfId="16443" xr:uid="{00000000-0005-0000-0000-0000CA500000}"/>
    <cellStyle name="Normal 6 6 4 2 3" xfId="16444" xr:uid="{00000000-0005-0000-0000-0000CB500000}"/>
    <cellStyle name="Normal 6 6 4 3" xfId="16445" xr:uid="{00000000-0005-0000-0000-0000CC500000}"/>
    <cellStyle name="Normal 6 6 4 3 2" xfId="16446" xr:uid="{00000000-0005-0000-0000-0000CD500000}"/>
    <cellStyle name="Normal 6 6 4 4" xfId="16447" xr:uid="{00000000-0005-0000-0000-0000CE500000}"/>
    <cellStyle name="Normal 6 6 5" xfId="16448" xr:uid="{00000000-0005-0000-0000-0000CF500000}"/>
    <cellStyle name="Normal 6 6 5 2" xfId="16449" xr:uid="{00000000-0005-0000-0000-0000D0500000}"/>
    <cellStyle name="Normal 6 6 5 2 2" xfId="16450" xr:uid="{00000000-0005-0000-0000-0000D1500000}"/>
    <cellStyle name="Normal 6 6 5 3" xfId="16451" xr:uid="{00000000-0005-0000-0000-0000D2500000}"/>
    <cellStyle name="Normal 6 6 6" xfId="16452" xr:uid="{00000000-0005-0000-0000-0000D3500000}"/>
    <cellStyle name="Normal 6 6 6 2" xfId="16453" xr:uid="{00000000-0005-0000-0000-0000D4500000}"/>
    <cellStyle name="Normal 6 6 7" xfId="16454" xr:uid="{00000000-0005-0000-0000-0000D5500000}"/>
    <cellStyle name="Normal 6 7" xfId="16455" xr:uid="{00000000-0005-0000-0000-0000D6500000}"/>
    <cellStyle name="Normal 6 7 2" xfId="16456" xr:uid="{00000000-0005-0000-0000-0000D7500000}"/>
    <cellStyle name="Normal 6 7 2 2" xfId="16457" xr:uid="{00000000-0005-0000-0000-0000D8500000}"/>
    <cellStyle name="Normal 6 7 2 2 2" xfId="16458" xr:uid="{00000000-0005-0000-0000-0000D9500000}"/>
    <cellStyle name="Normal 6 7 2 2 2 2" xfId="16459" xr:uid="{00000000-0005-0000-0000-0000DA500000}"/>
    <cellStyle name="Normal 6 7 2 2 2 2 2" xfId="16460" xr:uid="{00000000-0005-0000-0000-0000DB500000}"/>
    <cellStyle name="Normal 6 7 2 2 2 3" xfId="16461" xr:uid="{00000000-0005-0000-0000-0000DC500000}"/>
    <cellStyle name="Normal 6 7 2 2 3" xfId="16462" xr:uid="{00000000-0005-0000-0000-0000DD500000}"/>
    <cellStyle name="Normal 6 7 2 2 3 2" xfId="16463" xr:uid="{00000000-0005-0000-0000-0000DE500000}"/>
    <cellStyle name="Normal 6 7 2 2 4" xfId="16464" xr:uid="{00000000-0005-0000-0000-0000DF500000}"/>
    <cellStyle name="Normal 6 7 2 3" xfId="16465" xr:uid="{00000000-0005-0000-0000-0000E0500000}"/>
    <cellStyle name="Normal 6 7 2 3 2" xfId="16466" xr:uid="{00000000-0005-0000-0000-0000E1500000}"/>
    <cellStyle name="Normal 6 7 2 3 2 2" xfId="16467" xr:uid="{00000000-0005-0000-0000-0000E2500000}"/>
    <cellStyle name="Normal 6 7 2 3 3" xfId="16468" xr:uid="{00000000-0005-0000-0000-0000E3500000}"/>
    <cellStyle name="Normal 6 7 2 4" xfId="16469" xr:uid="{00000000-0005-0000-0000-0000E4500000}"/>
    <cellStyle name="Normal 6 7 2 4 2" xfId="16470" xr:uid="{00000000-0005-0000-0000-0000E5500000}"/>
    <cellStyle name="Normal 6 7 2 5" xfId="16471" xr:uid="{00000000-0005-0000-0000-0000E6500000}"/>
    <cellStyle name="Normal 6 7 3" xfId="16472" xr:uid="{00000000-0005-0000-0000-0000E7500000}"/>
    <cellStyle name="Normal 6 7 3 2" xfId="16473" xr:uid="{00000000-0005-0000-0000-0000E8500000}"/>
    <cellStyle name="Normal 6 7 3 2 2" xfId="16474" xr:uid="{00000000-0005-0000-0000-0000E9500000}"/>
    <cellStyle name="Normal 6 7 3 2 2 2" xfId="16475" xr:uid="{00000000-0005-0000-0000-0000EA500000}"/>
    <cellStyle name="Normal 6 7 3 2 3" xfId="16476" xr:uid="{00000000-0005-0000-0000-0000EB500000}"/>
    <cellStyle name="Normal 6 7 3 3" xfId="16477" xr:uid="{00000000-0005-0000-0000-0000EC500000}"/>
    <cellStyle name="Normal 6 7 3 3 2" xfId="16478" xr:uid="{00000000-0005-0000-0000-0000ED500000}"/>
    <cellStyle name="Normal 6 7 3 4" xfId="16479" xr:uid="{00000000-0005-0000-0000-0000EE500000}"/>
    <cellStyle name="Normal 6 7 4" xfId="16480" xr:uid="{00000000-0005-0000-0000-0000EF500000}"/>
    <cellStyle name="Normal 6 7 4 2" xfId="16481" xr:uid="{00000000-0005-0000-0000-0000F0500000}"/>
    <cellStyle name="Normal 6 7 4 2 2" xfId="16482" xr:uid="{00000000-0005-0000-0000-0000F1500000}"/>
    <cellStyle name="Normal 6 7 4 3" xfId="16483" xr:uid="{00000000-0005-0000-0000-0000F2500000}"/>
    <cellStyle name="Normal 6 7 5" xfId="16484" xr:uid="{00000000-0005-0000-0000-0000F3500000}"/>
    <cellStyle name="Normal 6 7 5 2" xfId="16485" xr:uid="{00000000-0005-0000-0000-0000F4500000}"/>
    <cellStyle name="Normal 6 7 6" xfId="16486" xr:uid="{00000000-0005-0000-0000-0000F5500000}"/>
    <cellStyle name="Normal 6 8" xfId="16487" xr:uid="{00000000-0005-0000-0000-0000F6500000}"/>
    <cellStyle name="Normal 6 8 2" xfId="16488" xr:uid="{00000000-0005-0000-0000-0000F7500000}"/>
    <cellStyle name="Normal 6 8 2 2" xfId="16489" xr:uid="{00000000-0005-0000-0000-0000F8500000}"/>
    <cellStyle name="Normal 6 8 2 2 2" xfId="16490" xr:uid="{00000000-0005-0000-0000-0000F9500000}"/>
    <cellStyle name="Normal 6 8 2 2 2 2" xfId="16491" xr:uid="{00000000-0005-0000-0000-0000FA500000}"/>
    <cellStyle name="Normal 6 8 2 2 3" xfId="16492" xr:uid="{00000000-0005-0000-0000-0000FB500000}"/>
    <cellStyle name="Normal 6 8 2 3" xfId="16493" xr:uid="{00000000-0005-0000-0000-0000FC500000}"/>
    <cellStyle name="Normal 6 8 2 3 2" xfId="16494" xr:uid="{00000000-0005-0000-0000-0000FD500000}"/>
    <cellStyle name="Normal 6 8 2 4" xfId="16495" xr:uid="{00000000-0005-0000-0000-0000FE500000}"/>
    <cellStyle name="Normal 6 8 3" xfId="16496" xr:uid="{00000000-0005-0000-0000-0000FF500000}"/>
    <cellStyle name="Normal 6 8 3 2" xfId="16497" xr:uid="{00000000-0005-0000-0000-000000510000}"/>
    <cellStyle name="Normal 6 8 3 2 2" xfId="16498" xr:uid="{00000000-0005-0000-0000-000001510000}"/>
    <cellStyle name="Normal 6 8 3 3" xfId="16499" xr:uid="{00000000-0005-0000-0000-000002510000}"/>
    <cellStyle name="Normal 6 8 4" xfId="16500" xr:uid="{00000000-0005-0000-0000-000003510000}"/>
    <cellStyle name="Normal 6 8 4 2" xfId="16501" xr:uid="{00000000-0005-0000-0000-000004510000}"/>
    <cellStyle name="Normal 6 8 5" xfId="16502" xr:uid="{00000000-0005-0000-0000-000005510000}"/>
    <cellStyle name="Normal 6 9" xfId="16503" xr:uid="{00000000-0005-0000-0000-000006510000}"/>
    <cellStyle name="Normal 6 9 2" xfId="16504" xr:uid="{00000000-0005-0000-0000-000007510000}"/>
    <cellStyle name="Normal 6 9 2 2" xfId="16505" xr:uid="{00000000-0005-0000-0000-000008510000}"/>
    <cellStyle name="Normal 6 9 2 2 2" xfId="16506" xr:uid="{00000000-0005-0000-0000-000009510000}"/>
    <cellStyle name="Normal 6 9 2 3" xfId="16507" xr:uid="{00000000-0005-0000-0000-00000A510000}"/>
    <cellStyle name="Normal 6 9 3" xfId="16508" xr:uid="{00000000-0005-0000-0000-00000B510000}"/>
    <cellStyle name="Normal 6 9 3 2" xfId="16509" xr:uid="{00000000-0005-0000-0000-00000C510000}"/>
    <cellStyle name="Normal 6 9 4" xfId="16510" xr:uid="{00000000-0005-0000-0000-00000D510000}"/>
    <cellStyle name="Normal 7" xfId="6" xr:uid="{00000000-0005-0000-0000-00000E510000}"/>
    <cellStyle name="Normal 7 2" xfId="16512" xr:uid="{00000000-0005-0000-0000-00000F510000}"/>
    <cellStyle name="Normal 7 2 2" xfId="18796" xr:uid="{00000000-0005-0000-0000-000010510000}"/>
    <cellStyle name="Normal 7 2 3" xfId="18695" xr:uid="{00000000-0005-0000-0000-000011510000}"/>
    <cellStyle name="Normal 7 3" xfId="16513" xr:uid="{00000000-0005-0000-0000-000012510000}"/>
    <cellStyle name="Normal 7 3 2" xfId="18778" xr:uid="{00000000-0005-0000-0000-000013510000}"/>
    <cellStyle name="Normal 7 4" xfId="16514" xr:uid="{00000000-0005-0000-0000-000014510000}"/>
    <cellStyle name="Normal 7 5" xfId="16515" xr:uid="{00000000-0005-0000-0000-000015510000}"/>
    <cellStyle name="Normal 7 6" xfId="16516" xr:uid="{00000000-0005-0000-0000-000016510000}"/>
    <cellStyle name="Normal 7 7" xfId="16511" xr:uid="{00000000-0005-0000-0000-000017510000}"/>
    <cellStyle name="Normal 7 8" xfId="18675" xr:uid="{00000000-0005-0000-0000-000018510000}"/>
    <cellStyle name="Normal 8" xfId="16517" xr:uid="{00000000-0005-0000-0000-000019510000}"/>
    <cellStyle name="Normal 8 2" xfId="16518" xr:uid="{00000000-0005-0000-0000-00001A510000}"/>
    <cellStyle name="Normal 8 2 2" xfId="18797" xr:uid="{00000000-0005-0000-0000-00001B510000}"/>
    <cellStyle name="Normal 8 2 3" xfId="18699" xr:uid="{00000000-0005-0000-0000-00001C510000}"/>
    <cellStyle name="Normal 8 3" xfId="16519" xr:uid="{00000000-0005-0000-0000-00001D510000}"/>
    <cellStyle name="Normal 8 3 2" xfId="18779" xr:uid="{00000000-0005-0000-0000-00001E510000}"/>
    <cellStyle name="Normal 8 4" xfId="16520" xr:uid="{00000000-0005-0000-0000-00001F510000}"/>
    <cellStyle name="Normal 8 5" xfId="16521" xr:uid="{00000000-0005-0000-0000-000020510000}"/>
    <cellStyle name="Normal 8 6" xfId="16522" xr:uid="{00000000-0005-0000-0000-000021510000}"/>
    <cellStyle name="Normal 8 7" xfId="18676" xr:uid="{00000000-0005-0000-0000-000022510000}"/>
    <cellStyle name="Normal 9" xfId="16523" xr:uid="{00000000-0005-0000-0000-000023510000}"/>
    <cellStyle name="Normal 9 2" xfId="16524" xr:uid="{00000000-0005-0000-0000-000024510000}"/>
    <cellStyle name="Normal 9 2 2" xfId="18799" xr:uid="{00000000-0005-0000-0000-000025510000}"/>
    <cellStyle name="Normal 9 3" xfId="16525" xr:uid="{00000000-0005-0000-0000-000026510000}"/>
    <cellStyle name="Normal 9 3 2" xfId="18781" xr:uid="{00000000-0005-0000-0000-000027510000}"/>
    <cellStyle name="Normal 9 4" xfId="16526" xr:uid="{00000000-0005-0000-0000-000028510000}"/>
    <cellStyle name="Normal 9 5" xfId="16527" xr:uid="{00000000-0005-0000-0000-000029510000}"/>
    <cellStyle name="Normal 9 6" xfId="18701" xr:uid="{00000000-0005-0000-0000-00002A510000}"/>
    <cellStyle name="Note 10" xfId="16528" xr:uid="{00000000-0005-0000-0000-00002B510000}"/>
    <cellStyle name="Note 10 2" xfId="16529" xr:uid="{00000000-0005-0000-0000-00002C510000}"/>
    <cellStyle name="Note 10 2 2" xfId="16530" xr:uid="{00000000-0005-0000-0000-00002D510000}"/>
    <cellStyle name="Note 10 2 3" xfId="22599" xr:uid="{00000000-0005-0000-0000-00002E510000}"/>
    <cellStyle name="Note 10 3" xfId="16531" xr:uid="{00000000-0005-0000-0000-00002F510000}"/>
    <cellStyle name="Note 10 4" xfId="20012" xr:uid="{00000000-0005-0000-0000-000030510000}"/>
    <cellStyle name="Note 11" xfId="16532" xr:uid="{00000000-0005-0000-0000-000031510000}"/>
    <cellStyle name="Note 11 2" xfId="16533" xr:uid="{00000000-0005-0000-0000-000032510000}"/>
    <cellStyle name="Note 11 3" xfId="21306" xr:uid="{00000000-0005-0000-0000-000033510000}"/>
    <cellStyle name="Note 12" xfId="16534" xr:uid="{00000000-0005-0000-0000-000034510000}"/>
    <cellStyle name="Note 13" xfId="16535" xr:uid="{00000000-0005-0000-0000-000035510000}"/>
    <cellStyle name="Note 14" xfId="16536" xr:uid="{00000000-0005-0000-0000-000036510000}"/>
    <cellStyle name="Note 15" xfId="18608" xr:uid="{00000000-0005-0000-0000-000037510000}"/>
    <cellStyle name="Note 2" xfId="16537" xr:uid="{00000000-0005-0000-0000-000038510000}"/>
    <cellStyle name="Note 2 10" xfId="16538" xr:uid="{00000000-0005-0000-0000-000039510000}"/>
    <cellStyle name="Note 2 10 2" xfId="16539" xr:uid="{00000000-0005-0000-0000-00003A510000}"/>
    <cellStyle name="Note 2 10 3" xfId="21319" xr:uid="{00000000-0005-0000-0000-00003B510000}"/>
    <cellStyle name="Note 2 11" xfId="16540" xr:uid="{00000000-0005-0000-0000-00003C510000}"/>
    <cellStyle name="Note 2 12" xfId="18667" xr:uid="{00000000-0005-0000-0000-00003D510000}"/>
    <cellStyle name="Note 2 2" xfId="16541" xr:uid="{00000000-0005-0000-0000-00003E510000}"/>
    <cellStyle name="Note 2 2 10" xfId="16542" xr:uid="{00000000-0005-0000-0000-00003F510000}"/>
    <cellStyle name="Note 2 2 11" xfId="18707" xr:uid="{00000000-0005-0000-0000-000040510000}"/>
    <cellStyle name="Note 2 2 2" xfId="16543" xr:uid="{00000000-0005-0000-0000-000041510000}"/>
    <cellStyle name="Note 2 2 2 10" xfId="18731" xr:uid="{00000000-0005-0000-0000-000042510000}"/>
    <cellStyle name="Note 2 2 2 2" xfId="16544" xr:uid="{00000000-0005-0000-0000-000043510000}"/>
    <cellStyle name="Note 2 2 2 2 2" xfId="16545" xr:uid="{00000000-0005-0000-0000-000044510000}"/>
    <cellStyle name="Note 2 2 2 2 2 2" xfId="16546" xr:uid="{00000000-0005-0000-0000-000045510000}"/>
    <cellStyle name="Note 2 2 2 2 2 2 2" xfId="16547" xr:uid="{00000000-0005-0000-0000-000046510000}"/>
    <cellStyle name="Note 2 2 2 2 2 2 2 2" xfId="16548" xr:uid="{00000000-0005-0000-0000-000047510000}"/>
    <cellStyle name="Note 2 2 2 2 2 2 2 2 2" xfId="16549" xr:uid="{00000000-0005-0000-0000-000048510000}"/>
    <cellStyle name="Note 2 2 2 2 2 2 2 2 2 2" xfId="16550" xr:uid="{00000000-0005-0000-0000-000049510000}"/>
    <cellStyle name="Note 2 2 2 2 2 2 2 2 2 2 2" xfId="16551" xr:uid="{00000000-0005-0000-0000-00004A510000}"/>
    <cellStyle name="Note 2 2 2 2 2 2 2 2 2 2 3" xfId="23888" xr:uid="{00000000-0005-0000-0000-00004B510000}"/>
    <cellStyle name="Note 2 2 2 2 2 2 2 2 2 3" xfId="16552" xr:uid="{00000000-0005-0000-0000-00004C510000}"/>
    <cellStyle name="Note 2 2 2 2 2 2 2 2 2 4" xfId="21305" xr:uid="{00000000-0005-0000-0000-00004D510000}"/>
    <cellStyle name="Note 2 2 2 2 2 2 2 2 3" xfId="16553" xr:uid="{00000000-0005-0000-0000-00004E510000}"/>
    <cellStyle name="Note 2 2 2 2 2 2 2 2 3 2" xfId="16554" xr:uid="{00000000-0005-0000-0000-00004F510000}"/>
    <cellStyle name="Note 2 2 2 2 2 2 2 2 3 3" xfId="22598" xr:uid="{00000000-0005-0000-0000-000050510000}"/>
    <cellStyle name="Note 2 2 2 2 2 2 2 2 4" xfId="16555" xr:uid="{00000000-0005-0000-0000-000051510000}"/>
    <cellStyle name="Note 2 2 2 2 2 2 2 2 5" xfId="20011" xr:uid="{00000000-0005-0000-0000-000052510000}"/>
    <cellStyle name="Note 2 2 2 2 2 2 2 3" xfId="16556" xr:uid="{00000000-0005-0000-0000-000053510000}"/>
    <cellStyle name="Note 2 2 2 2 2 2 2 3 2" xfId="16557" xr:uid="{00000000-0005-0000-0000-000054510000}"/>
    <cellStyle name="Note 2 2 2 2 2 2 2 3 2 2" xfId="16558" xr:uid="{00000000-0005-0000-0000-000055510000}"/>
    <cellStyle name="Note 2 2 2 2 2 2 2 3 2 3" xfId="23243" xr:uid="{00000000-0005-0000-0000-000056510000}"/>
    <cellStyle name="Note 2 2 2 2 2 2 2 3 3" xfId="16559" xr:uid="{00000000-0005-0000-0000-000057510000}"/>
    <cellStyle name="Note 2 2 2 2 2 2 2 3 4" xfId="20660" xr:uid="{00000000-0005-0000-0000-000058510000}"/>
    <cellStyle name="Note 2 2 2 2 2 2 2 4" xfId="16560" xr:uid="{00000000-0005-0000-0000-000059510000}"/>
    <cellStyle name="Note 2 2 2 2 2 2 2 4 2" xfId="16561" xr:uid="{00000000-0005-0000-0000-00005A510000}"/>
    <cellStyle name="Note 2 2 2 2 2 2 2 4 3" xfId="21953" xr:uid="{00000000-0005-0000-0000-00005B510000}"/>
    <cellStyle name="Note 2 2 2 2 2 2 2 5" xfId="16562" xr:uid="{00000000-0005-0000-0000-00005C510000}"/>
    <cellStyle name="Note 2 2 2 2 2 2 2 6" xfId="19363" xr:uid="{00000000-0005-0000-0000-00005D510000}"/>
    <cellStyle name="Note 2 2 2 2 2 2 3" xfId="16563" xr:uid="{00000000-0005-0000-0000-00005E510000}"/>
    <cellStyle name="Note 2 2 2 2 2 2 3 2" xfId="16564" xr:uid="{00000000-0005-0000-0000-00005F510000}"/>
    <cellStyle name="Note 2 2 2 2 2 2 3 2 2" xfId="16565" xr:uid="{00000000-0005-0000-0000-000060510000}"/>
    <cellStyle name="Note 2 2 2 2 2 2 3 2 2 2" xfId="16566" xr:uid="{00000000-0005-0000-0000-000061510000}"/>
    <cellStyle name="Note 2 2 2 2 2 2 3 2 2 3" xfId="23566" xr:uid="{00000000-0005-0000-0000-000062510000}"/>
    <cellStyle name="Note 2 2 2 2 2 2 3 2 3" xfId="16567" xr:uid="{00000000-0005-0000-0000-000063510000}"/>
    <cellStyle name="Note 2 2 2 2 2 2 3 2 4" xfId="20983" xr:uid="{00000000-0005-0000-0000-000064510000}"/>
    <cellStyle name="Note 2 2 2 2 2 2 3 3" xfId="16568" xr:uid="{00000000-0005-0000-0000-000065510000}"/>
    <cellStyle name="Note 2 2 2 2 2 2 3 3 2" xfId="16569" xr:uid="{00000000-0005-0000-0000-000066510000}"/>
    <cellStyle name="Note 2 2 2 2 2 2 3 3 3" xfId="22276" xr:uid="{00000000-0005-0000-0000-000067510000}"/>
    <cellStyle name="Note 2 2 2 2 2 2 3 4" xfId="16570" xr:uid="{00000000-0005-0000-0000-000068510000}"/>
    <cellStyle name="Note 2 2 2 2 2 2 3 5" xfId="19689" xr:uid="{00000000-0005-0000-0000-000069510000}"/>
    <cellStyle name="Note 2 2 2 2 2 2 4" xfId="16571" xr:uid="{00000000-0005-0000-0000-00006A510000}"/>
    <cellStyle name="Note 2 2 2 2 2 2 4 2" xfId="16572" xr:uid="{00000000-0005-0000-0000-00006B510000}"/>
    <cellStyle name="Note 2 2 2 2 2 2 4 2 2" xfId="16573" xr:uid="{00000000-0005-0000-0000-00006C510000}"/>
    <cellStyle name="Note 2 2 2 2 2 2 4 2 3" xfId="22921" xr:uid="{00000000-0005-0000-0000-00006D510000}"/>
    <cellStyle name="Note 2 2 2 2 2 2 4 3" xfId="16574" xr:uid="{00000000-0005-0000-0000-00006E510000}"/>
    <cellStyle name="Note 2 2 2 2 2 2 4 4" xfId="20338" xr:uid="{00000000-0005-0000-0000-00006F510000}"/>
    <cellStyle name="Note 2 2 2 2 2 2 5" xfId="16575" xr:uid="{00000000-0005-0000-0000-000070510000}"/>
    <cellStyle name="Note 2 2 2 2 2 2 5 2" xfId="16576" xr:uid="{00000000-0005-0000-0000-000071510000}"/>
    <cellStyle name="Note 2 2 2 2 2 2 5 3" xfId="21631" xr:uid="{00000000-0005-0000-0000-000072510000}"/>
    <cellStyle name="Note 2 2 2 2 2 2 6" xfId="16577" xr:uid="{00000000-0005-0000-0000-000073510000}"/>
    <cellStyle name="Note 2 2 2 2 2 2 7" xfId="19037" xr:uid="{00000000-0005-0000-0000-000074510000}"/>
    <cellStyle name="Note 2 2 2 2 2 3" xfId="16578" xr:uid="{00000000-0005-0000-0000-000075510000}"/>
    <cellStyle name="Note 2 2 2 2 2 3 2" xfId="16579" xr:uid="{00000000-0005-0000-0000-000076510000}"/>
    <cellStyle name="Note 2 2 2 2 2 3 2 2" xfId="16580" xr:uid="{00000000-0005-0000-0000-000077510000}"/>
    <cellStyle name="Note 2 2 2 2 2 3 2 2 2" xfId="16581" xr:uid="{00000000-0005-0000-0000-000078510000}"/>
    <cellStyle name="Note 2 2 2 2 2 3 2 2 2 2" xfId="16582" xr:uid="{00000000-0005-0000-0000-000079510000}"/>
    <cellStyle name="Note 2 2 2 2 2 3 2 2 2 3" xfId="23727" xr:uid="{00000000-0005-0000-0000-00007A510000}"/>
    <cellStyle name="Note 2 2 2 2 2 3 2 2 3" xfId="16583" xr:uid="{00000000-0005-0000-0000-00007B510000}"/>
    <cellStyle name="Note 2 2 2 2 2 3 2 2 4" xfId="21144" xr:uid="{00000000-0005-0000-0000-00007C510000}"/>
    <cellStyle name="Note 2 2 2 2 2 3 2 3" xfId="16584" xr:uid="{00000000-0005-0000-0000-00007D510000}"/>
    <cellStyle name="Note 2 2 2 2 2 3 2 3 2" xfId="16585" xr:uid="{00000000-0005-0000-0000-00007E510000}"/>
    <cellStyle name="Note 2 2 2 2 2 3 2 3 3" xfId="22437" xr:uid="{00000000-0005-0000-0000-00007F510000}"/>
    <cellStyle name="Note 2 2 2 2 2 3 2 4" xfId="16586" xr:uid="{00000000-0005-0000-0000-000080510000}"/>
    <cellStyle name="Note 2 2 2 2 2 3 2 5" xfId="19850" xr:uid="{00000000-0005-0000-0000-000081510000}"/>
    <cellStyle name="Note 2 2 2 2 2 3 3" xfId="16587" xr:uid="{00000000-0005-0000-0000-000082510000}"/>
    <cellStyle name="Note 2 2 2 2 2 3 3 2" xfId="16588" xr:uid="{00000000-0005-0000-0000-000083510000}"/>
    <cellStyle name="Note 2 2 2 2 2 3 3 2 2" xfId="16589" xr:uid="{00000000-0005-0000-0000-000084510000}"/>
    <cellStyle name="Note 2 2 2 2 2 3 3 2 3" xfId="23082" xr:uid="{00000000-0005-0000-0000-000085510000}"/>
    <cellStyle name="Note 2 2 2 2 2 3 3 3" xfId="16590" xr:uid="{00000000-0005-0000-0000-000086510000}"/>
    <cellStyle name="Note 2 2 2 2 2 3 3 4" xfId="20499" xr:uid="{00000000-0005-0000-0000-000087510000}"/>
    <cellStyle name="Note 2 2 2 2 2 3 4" xfId="16591" xr:uid="{00000000-0005-0000-0000-000088510000}"/>
    <cellStyle name="Note 2 2 2 2 2 3 4 2" xfId="16592" xr:uid="{00000000-0005-0000-0000-000089510000}"/>
    <cellStyle name="Note 2 2 2 2 2 3 4 3" xfId="21792" xr:uid="{00000000-0005-0000-0000-00008A510000}"/>
    <cellStyle name="Note 2 2 2 2 2 3 5" xfId="16593" xr:uid="{00000000-0005-0000-0000-00008B510000}"/>
    <cellStyle name="Note 2 2 2 2 2 3 6" xfId="19202" xr:uid="{00000000-0005-0000-0000-00008C510000}"/>
    <cellStyle name="Note 2 2 2 2 2 4" xfId="16594" xr:uid="{00000000-0005-0000-0000-00008D510000}"/>
    <cellStyle name="Note 2 2 2 2 2 4 2" xfId="16595" xr:uid="{00000000-0005-0000-0000-00008E510000}"/>
    <cellStyle name="Note 2 2 2 2 2 4 2 2" xfId="16596" xr:uid="{00000000-0005-0000-0000-00008F510000}"/>
    <cellStyle name="Note 2 2 2 2 2 4 2 2 2" xfId="16597" xr:uid="{00000000-0005-0000-0000-000090510000}"/>
    <cellStyle name="Note 2 2 2 2 2 4 2 2 3" xfId="23405" xr:uid="{00000000-0005-0000-0000-000091510000}"/>
    <cellStyle name="Note 2 2 2 2 2 4 2 3" xfId="16598" xr:uid="{00000000-0005-0000-0000-000092510000}"/>
    <cellStyle name="Note 2 2 2 2 2 4 2 4" xfId="20822" xr:uid="{00000000-0005-0000-0000-000093510000}"/>
    <cellStyle name="Note 2 2 2 2 2 4 3" xfId="16599" xr:uid="{00000000-0005-0000-0000-000094510000}"/>
    <cellStyle name="Note 2 2 2 2 2 4 3 2" xfId="16600" xr:uid="{00000000-0005-0000-0000-000095510000}"/>
    <cellStyle name="Note 2 2 2 2 2 4 3 3" xfId="22115" xr:uid="{00000000-0005-0000-0000-000096510000}"/>
    <cellStyle name="Note 2 2 2 2 2 4 4" xfId="16601" xr:uid="{00000000-0005-0000-0000-000097510000}"/>
    <cellStyle name="Note 2 2 2 2 2 4 5" xfId="19528" xr:uid="{00000000-0005-0000-0000-000098510000}"/>
    <cellStyle name="Note 2 2 2 2 2 5" xfId="16602" xr:uid="{00000000-0005-0000-0000-000099510000}"/>
    <cellStyle name="Note 2 2 2 2 2 5 2" xfId="16603" xr:uid="{00000000-0005-0000-0000-00009A510000}"/>
    <cellStyle name="Note 2 2 2 2 2 5 2 2" xfId="16604" xr:uid="{00000000-0005-0000-0000-00009B510000}"/>
    <cellStyle name="Note 2 2 2 2 2 5 2 3" xfId="22760" xr:uid="{00000000-0005-0000-0000-00009C510000}"/>
    <cellStyle name="Note 2 2 2 2 2 5 3" xfId="16605" xr:uid="{00000000-0005-0000-0000-00009D510000}"/>
    <cellStyle name="Note 2 2 2 2 2 5 4" xfId="20177" xr:uid="{00000000-0005-0000-0000-00009E510000}"/>
    <cellStyle name="Note 2 2 2 2 2 6" xfId="16606" xr:uid="{00000000-0005-0000-0000-00009F510000}"/>
    <cellStyle name="Note 2 2 2 2 2 6 2" xfId="16607" xr:uid="{00000000-0005-0000-0000-0000A0510000}"/>
    <cellStyle name="Note 2 2 2 2 2 6 3" xfId="21470" xr:uid="{00000000-0005-0000-0000-0000A1510000}"/>
    <cellStyle name="Note 2 2 2 2 2 7" xfId="16608" xr:uid="{00000000-0005-0000-0000-0000A2510000}"/>
    <cellStyle name="Note 2 2 2 2 2 8" xfId="18872" xr:uid="{00000000-0005-0000-0000-0000A3510000}"/>
    <cellStyle name="Note 2 2 2 2 3" xfId="16609" xr:uid="{00000000-0005-0000-0000-0000A4510000}"/>
    <cellStyle name="Note 2 2 2 2 3 2" xfId="16610" xr:uid="{00000000-0005-0000-0000-0000A5510000}"/>
    <cellStyle name="Note 2 2 2 2 3 2 2" xfId="16611" xr:uid="{00000000-0005-0000-0000-0000A6510000}"/>
    <cellStyle name="Note 2 2 2 2 3 2 2 2" xfId="16612" xr:uid="{00000000-0005-0000-0000-0000A7510000}"/>
    <cellStyle name="Note 2 2 2 2 3 2 2 2 2" xfId="16613" xr:uid="{00000000-0005-0000-0000-0000A8510000}"/>
    <cellStyle name="Note 2 2 2 2 3 2 2 2 2 2" xfId="16614" xr:uid="{00000000-0005-0000-0000-0000A9510000}"/>
    <cellStyle name="Note 2 2 2 2 3 2 2 2 2 3" xfId="23808" xr:uid="{00000000-0005-0000-0000-0000AA510000}"/>
    <cellStyle name="Note 2 2 2 2 3 2 2 2 3" xfId="16615" xr:uid="{00000000-0005-0000-0000-0000AB510000}"/>
    <cellStyle name="Note 2 2 2 2 3 2 2 2 4" xfId="21225" xr:uid="{00000000-0005-0000-0000-0000AC510000}"/>
    <cellStyle name="Note 2 2 2 2 3 2 2 3" xfId="16616" xr:uid="{00000000-0005-0000-0000-0000AD510000}"/>
    <cellStyle name="Note 2 2 2 2 3 2 2 3 2" xfId="16617" xr:uid="{00000000-0005-0000-0000-0000AE510000}"/>
    <cellStyle name="Note 2 2 2 2 3 2 2 3 3" xfId="22518" xr:uid="{00000000-0005-0000-0000-0000AF510000}"/>
    <cellStyle name="Note 2 2 2 2 3 2 2 4" xfId="16618" xr:uid="{00000000-0005-0000-0000-0000B0510000}"/>
    <cellStyle name="Note 2 2 2 2 3 2 2 5" xfId="19931" xr:uid="{00000000-0005-0000-0000-0000B1510000}"/>
    <cellStyle name="Note 2 2 2 2 3 2 3" xfId="16619" xr:uid="{00000000-0005-0000-0000-0000B2510000}"/>
    <cellStyle name="Note 2 2 2 2 3 2 3 2" xfId="16620" xr:uid="{00000000-0005-0000-0000-0000B3510000}"/>
    <cellStyle name="Note 2 2 2 2 3 2 3 2 2" xfId="16621" xr:uid="{00000000-0005-0000-0000-0000B4510000}"/>
    <cellStyle name="Note 2 2 2 2 3 2 3 2 3" xfId="23163" xr:uid="{00000000-0005-0000-0000-0000B5510000}"/>
    <cellStyle name="Note 2 2 2 2 3 2 3 3" xfId="16622" xr:uid="{00000000-0005-0000-0000-0000B6510000}"/>
    <cellStyle name="Note 2 2 2 2 3 2 3 4" xfId="20580" xr:uid="{00000000-0005-0000-0000-0000B7510000}"/>
    <cellStyle name="Note 2 2 2 2 3 2 4" xfId="16623" xr:uid="{00000000-0005-0000-0000-0000B8510000}"/>
    <cellStyle name="Note 2 2 2 2 3 2 4 2" xfId="16624" xr:uid="{00000000-0005-0000-0000-0000B9510000}"/>
    <cellStyle name="Note 2 2 2 2 3 2 4 3" xfId="21873" xr:uid="{00000000-0005-0000-0000-0000BA510000}"/>
    <cellStyle name="Note 2 2 2 2 3 2 5" xfId="16625" xr:uid="{00000000-0005-0000-0000-0000BB510000}"/>
    <cellStyle name="Note 2 2 2 2 3 2 6" xfId="19283" xr:uid="{00000000-0005-0000-0000-0000BC510000}"/>
    <cellStyle name="Note 2 2 2 2 3 3" xfId="16626" xr:uid="{00000000-0005-0000-0000-0000BD510000}"/>
    <cellStyle name="Note 2 2 2 2 3 3 2" xfId="16627" xr:uid="{00000000-0005-0000-0000-0000BE510000}"/>
    <cellStyle name="Note 2 2 2 2 3 3 2 2" xfId="16628" xr:uid="{00000000-0005-0000-0000-0000BF510000}"/>
    <cellStyle name="Note 2 2 2 2 3 3 2 2 2" xfId="16629" xr:uid="{00000000-0005-0000-0000-0000C0510000}"/>
    <cellStyle name="Note 2 2 2 2 3 3 2 2 3" xfId="23486" xr:uid="{00000000-0005-0000-0000-0000C1510000}"/>
    <cellStyle name="Note 2 2 2 2 3 3 2 3" xfId="16630" xr:uid="{00000000-0005-0000-0000-0000C2510000}"/>
    <cellStyle name="Note 2 2 2 2 3 3 2 4" xfId="20903" xr:uid="{00000000-0005-0000-0000-0000C3510000}"/>
    <cellStyle name="Note 2 2 2 2 3 3 3" xfId="16631" xr:uid="{00000000-0005-0000-0000-0000C4510000}"/>
    <cellStyle name="Note 2 2 2 2 3 3 3 2" xfId="16632" xr:uid="{00000000-0005-0000-0000-0000C5510000}"/>
    <cellStyle name="Note 2 2 2 2 3 3 3 3" xfId="22196" xr:uid="{00000000-0005-0000-0000-0000C6510000}"/>
    <cellStyle name="Note 2 2 2 2 3 3 4" xfId="16633" xr:uid="{00000000-0005-0000-0000-0000C7510000}"/>
    <cellStyle name="Note 2 2 2 2 3 3 5" xfId="19609" xr:uid="{00000000-0005-0000-0000-0000C8510000}"/>
    <cellStyle name="Note 2 2 2 2 3 4" xfId="16634" xr:uid="{00000000-0005-0000-0000-0000C9510000}"/>
    <cellStyle name="Note 2 2 2 2 3 4 2" xfId="16635" xr:uid="{00000000-0005-0000-0000-0000CA510000}"/>
    <cellStyle name="Note 2 2 2 2 3 4 2 2" xfId="16636" xr:uid="{00000000-0005-0000-0000-0000CB510000}"/>
    <cellStyle name="Note 2 2 2 2 3 4 2 3" xfId="22841" xr:uid="{00000000-0005-0000-0000-0000CC510000}"/>
    <cellStyle name="Note 2 2 2 2 3 4 3" xfId="16637" xr:uid="{00000000-0005-0000-0000-0000CD510000}"/>
    <cellStyle name="Note 2 2 2 2 3 4 4" xfId="20258" xr:uid="{00000000-0005-0000-0000-0000CE510000}"/>
    <cellStyle name="Note 2 2 2 2 3 5" xfId="16638" xr:uid="{00000000-0005-0000-0000-0000CF510000}"/>
    <cellStyle name="Note 2 2 2 2 3 5 2" xfId="16639" xr:uid="{00000000-0005-0000-0000-0000D0510000}"/>
    <cellStyle name="Note 2 2 2 2 3 5 3" xfId="21551" xr:uid="{00000000-0005-0000-0000-0000D1510000}"/>
    <cellStyle name="Note 2 2 2 2 3 6" xfId="16640" xr:uid="{00000000-0005-0000-0000-0000D2510000}"/>
    <cellStyle name="Note 2 2 2 2 3 7" xfId="18957" xr:uid="{00000000-0005-0000-0000-0000D3510000}"/>
    <cellStyle name="Note 2 2 2 2 4" xfId="16641" xr:uid="{00000000-0005-0000-0000-0000D4510000}"/>
    <cellStyle name="Note 2 2 2 2 4 2" xfId="16642" xr:uid="{00000000-0005-0000-0000-0000D5510000}"/>
    <cellStyle name="Note 2 2 2 2 4 2 2" xfId="16643" xr:uid="{00000000-0005-0000-0000-0000D6510000}"/>
    <cellStyle name="Note 2 2 2 2 4 2 2 2" xfId="16644" xr:uid="{00000000-0005-0000-0000-0000D7510000}"/>
    <cellStyle name="Note 2 2 2 2 4 2 2 2 2" xfId="16645" xr:uid="{00000000-0005-0000-0000-0000D8510000}"/>
    <cellStyle name="Note 2 2 2 2 4 2 2 2 3" xfId="23647" xr:uid="{00000000-0005-0000-0000-0000D9510000}"/>
    <cellStyle name="Note 2 2 2 2 4 2 2 3" xfId="16646" xr:uid="{00000000-0005-0000-0000-0000DA510000}"/>
    <cellStyle name="Note 2 2 2 2 4 2 2 4" xfId="21064" xr:uid="{00000000-0005-0000-0000-0000DB510000}"/>
    <cellStyle name="Note 2 2 2 2 4 2 3" xfId="16647" xr:uid="{00000000-0005-0000-0000-0000DC510000}"/>
    <cellStyle name="Note 2 2 2 2 4 2 3 2" xfId="16648" xr:uid="{00000000-0005-0000-0000-0000DD510000}"/>
    <cellStyle name="Note 2 2 2 2 4 2 3 3" xfId="22357" xr:uid="{00000000-0005-0000-0000-0000DE510000}"/>
    <cellStyle name="Note 2 2 2 2 4 2 4" xfId="16649" xr:uid="{00000000-0005-0000-0000-0000DF510000}"/>
    <cellStyle name="Note 2 2 2 2 4 2 5" xfId="19770" xr:uid="{00000000-0005-0000-0000-0000E0510000}"/>
    <cellStyle name="Note 2 2 2 2 4 3" xfId="16650" xr:uid="{00000000-0005-0000-0000-0000E1510000}"/>
    <cellStyle name="Note 2 2 2 2 4 3 2" xfId="16651" xr:uid="{00000000-0005-0000-0000-0000E2510000}"/>
    <cellStyle name="Note 2 2 2 2 4 3 2 2" xfId="16652" xr:uid="{00000000-0005-0000-0000-0000E3510000}"/>
    <cellStyle name="Note 2 2 2 2 4 3 2 3" xfId="23002" xr:uid="{00000000-0005-0000-0000-0000E4510000}"/>
    <cellStyle name="Note 2 2 2 2 4 3 3" xfId="16653" xr:uid="{00000000-0005-0000-0000-0000E5510000}"/>
    <cellStyle name="Note 2 2 2 2 4 3 4" xfId="20419" xr:uid="{00000000-0005-0000-0000-0000E6510000}"/>
    <cellStyle name="Note 2 2 2 2 4 4" xfId="16654" xr:uid="{00000000-0005-0000-0000-0000E7510000}"/>
    <cellStyle name="Note 2 2 2 2 4 4 2" xfId="16655" xr:uid="{00000000-0005-0000-0000-0000E8510000}"/>
    <cellStyle name="Note 2 2 2 2 4 4 3" xfId="21712" xr:uid="{00000000-0005-0000-0000-0000E9510000}"/>
    <cellStyle name="Note 2 2 2 2 4 5" xfId="16656" xr:uid="{00000000-0005-0000-0000-0000EA510000}"/>
    <cellStyle name="Note 2 2 2 2 4 6" xfId="19122" xr:uid="{00000000-0005-0000-0000-0000EB510000}"/>
    <cellStyle name="Note 2 2 2 2 5" xfId="16657" xr:uid="{00000000-0005-0000-0000-0000EC510000}"/>
    <cellStyle name="Note 2 2 2 2 5 2" xfId="16658" xr:uid="{00000000-0005-0000-0000-0000ED510000}"/>
    <cellStyle name="Note 2 2 2 2 5 2 2" xfId="16659" xr:uid="{00000000-0005-0000-0000-0000EE510000}"/>
    <cellStyle name="Note 2 2 2 2 5 2 2 2" xfId="16660" xr:uid="{00000000-0005-0000-0000-0000EF510000}"/>
    <cellStyle name="Note 2 2 2 2 5 2 2 3" xfId="23324" xr:uid="{00000000-0005-0000-0000-0000F0510000}"/>
    <cellStyle name="Note 2 2 2 2 5 2 3" xfId="16661" xr:uid="{00000000-0005-0000-0000-0000F1510000}"/>
    <cellStyle name="Note 2 2 2 2 5 2 4" xfId="20741" xr:uid="{00000000-0005-0000-0000-0000F2510000}"/>
    <cellStyle name="Note 2 2 2 2 5 3" xfId="16662" xr:uid="{00000000-0005-0000-0000-0000F3510000}"/>
    <cellStyle name="Note 2 2 2 2 5 3 2" xfId="16663" xr:uid="{00000000-0005-0000-0000-0000F4510000}"/>
    <cellStyle name="Note 2 2 2 2 5 3 3" xfId="22034" xr:uid="{00000000-0005-0000-0000-0000F5510000}"/>
    <cellStyle name="Note 2 2 2 2 5 4" xfId="16664" xr:uid="{00000000-0005-0000-0000-0000F6510000}"/>
    <cellStyle name="Note 2 2 2 2 5 5" xfId="19448" xr:uid="{00000000-0005-0000-0000-0000F7510000}"/>
    <cellStyle name="Note 2 2 2 2 6" xfId="16665" xr:uid="{00000000-0005-0000-0000-0000F8510000}"/>
    <cellStyle name="Note 2 2 2 2 6 2" xfId="16666" xr:uid="{00000000-0005-0000-0000-0000F9510000}"/>
    <cellStyle name="Note 2 2 2 2 6 2 2" xfId="16667" xr:uid="{00000000-0005-0000-0000-0000FA510000}"/>
    <cellStyle name="Note 2 2 2 2 6 2 3" xfId="22679" xr:uid="{00000000-0005-0000-0000-0000FB510000}"/>
    <cellStyle name="Note 2 2 2 2 6 3" xfId="16668" xr:uid="{00000000-0005-0000-0000-0000FC510000}"/>
    <cellStyle name="Note 2 2 2 2 6 4" xfId="20096" xr:uid="{00000000-0005-0000-0000-0000FD510000}"/>
    <cellStyle name="Note 2 2 2 2 7" xfId="16669" xr:uid="{00000000-0005-0000-0000-0000FE510000}"/>
    <cellStyle name="Note 2 2 2 2 7 2" xfId="16670" xr:uid="{00000000-0005-0000-0000-0000FF510000}"/>
    <cellStyle name="Note 2 2 2 2 7 3" xfId="21389" xr:uid="{00000000-0005-0000-0000-000000520000}"/>
    <cellStyle name="Note 2 2 2 2 8" xfId="16671" xr:uid="{00000000-0005-0000-0000-000001520000}"/>
    <cellStyle name="Note 2 2 2 2 9" xfId="18775" xr:uid="{00000000-0005-0000-0000-000002520000}"/>
    <cellStyle name="Note 2 2 2 3" xfId="16672" xr:uid="{00000000-0005-0000-0000-000003520000}"/>
    <cellStyle name="Note 2 2 2 3 2" xfId="16673" xr:uid="{00000000-0005-0000-0000-000004520000}"/>
    <cellStyle name="Note 2 2 2 3 2 2" xfId="16674" xr:uid="{00000000-0005-0000-0000-000005520000}"/>
    <cellStyle name="Note 2 2 2 3 2 2 2" xfId="16675" xr:uid="{00000000-0005-0000-0000-000006520000}"/>
    <cellStyle name="Note 2 2 2 3 2 2 2 2" xfId="16676" xr:uid="{00000000-0005-0000-0000-000007520000}"/>
    <cellStyle name="Note 2 2 2 3 2 2 2 2 2" xfId="16677" xr:uid="{00000000-0005-0000-0000-000008520000}"/>
    <cellStyle name="Note 2 2 2 3 2 2 2 2 2 2" xfId="16678" xr:uid="{00000000-0005-0000-0000-000009520000}"/>
    <cellStyle name="Note 2 2 2 3 2 2 2 2 2 3" xfId="23848" xr:uid="{00000000-0005-0000-0000-00000A520000}"/>
    <cellStyle name="Note 2 2 2 3 2 2 2 2 3" xfId="16679" xr:uid="{00000000-0005-0000-0000-00000B520000}"/>
    <cellStyle name="Note 2 2 2 3 2 2 2 2 4" xfId="21265" xr:uid="{00000000-0005-0000-0000-00000C520000}"/>
    <cellStyle name="Note 2 2 2 3 2 2 2 3" xfId="16680" xr:uid="{00000000-0005-0000-0000-00000D520000}"/>
    <cellStyle name="Note 2 2 2 3 2 2 2 3 2" xfId="16681" xr:uid="{00000000-0005-0000-0000-00000E520000}"/>
    <cellStyle name="Note 2 2 2 3 2 2 2 3 3" xfId="22558" xr:uid="{00000000-0005-0000-0000-00000F520000}"/>
    <cellStyle name="Note 2 2 2 3 2 2 2 4" xfId="16682" xr:uid="{00000000-0005-0000-0000-000010520000}"/>
    <cellStyle name="Note 2 2 2 3 2 2 2 5" xfId="19971" xr:uid="{00000000-0005-0000-0000-000011520000}"/>
    <cellStyle name="Note 2 2 2 3 2 2 3" xfId="16683" xr:uid="{00000000-0005-0000-0000-000012520000}"/>
    <cellStyle name="Note 2 2 2 3 2 2 3 2" xfId="16684" xr:uid="{00000000-0005-0000-0000-000013520000}"/>
    <cellStyle name="Note 2 2 2 3 2 2 3 2 2" xfId="16685" xr:uid="{00000000-0005-0000-0000-000014520000}"/>
    <cellStyle name="Note 2 2 2 3 2 2 3 2 3" xfId="23203" xr:uid="{00000000-0005-0000-0000-000015520000}"/>
    <cellStyle name="Note 2 2 2 3 2 2 3 3" xfId="16686" xr:uid="{00000000-0005-0000-0000-000016520000}"/>
    <cellStyle name="Note 2 2 2 3 2 2 3 4" xfId="20620" xr:uid="{00000000-0005-0000-0000-000017520000}"/>
    <cellStyle name="Note 2 2 2 3 2 2 4" xfId="16687" xr:uid="{00000000-0005-0000-0000-000018520000}"/>
    <cellStyle name="Note 2 2 2 3 2 2 4 2" xfId="16688" xr:uid="{00000000-0005-0000-0000-000019520000}"/>
    <cellStyle name="Note 2 2 2 3 2 2 4 3" xfId="21913" xr:uid="{00000000-0005-0000-0000-00001A520000}"/>
    <cellStyle name="Note 2 2 2 3 2 2 5" xfId="16689" xr:uid="{00000000-0005-0000-0000-00001B520000}"/>
    <cellStyle name="Note 2 2 2 3 2 2 6" xfId="19323" xr:uid="{00000000-0005-0000-0000-00001C520000}"/>
    <cellStyle name="Note 2 2 2 3 2 3" xfId="16690" xr:uid="{00000000-0005-0000-0000-00001D520000}"/>
    <cellStyle name="Note 2 2 2 3 2 3 2" xfId="16691" xr:uid="{00000000-0005-0000-0000-00001E520000}"/>
    <cellStyle name="Note 2 2 2 3 2 3 2 2" xfId="16692" xr:uid="{00000000-0005-0000-0000-00001F520000}"/>
    <cellStyle name="Note 2 2 2 3 2 3 2 2 2" xfId="16693" xr:uid="{00000000-0005-0000-0000-000020520000}"/>
    <cellStyle name="Note 2 2 2 3 2 3 2 2 3" xfId="23526" xr:uid="{00000000-0005-0000-0000-000021520000}"/>
    <cellStyle name="Note 2 2 2 3 2 3 2 3" xfId="16694" xr:uid="{00000000-0005-0000-0000-000022520000}"/>
    <cellStyle name="Note 2 2 2 3 2 3 2 4" xfId="20943" xr:uid="{00000000-0005-0000-0000-000023520000}"/>
    <cellStyle name="Note 2 2 2 3 2 3 3" xfId="16695" xr:uid="{00000000-0005-0000-0000-000024520000}"/>
    <cellStyle name="Note 2 2 2 3 2 3 3 2" xfId="16696" xr:uid="{00000000-0005-0000-0000-000025520000}"/>
    <cellStyle name="Note 2 2 2 3 2 3 3 3" xfId="22236" xr:uid="{00000000-0005-0000-0000-000026520000}"/>
    <cellStyle name="Note 2 2 2 3 2 3 4" xfId="16697" xr:uid="{00000000-0005-0000-0000-000027520000}"/>
    <cellStyle name="Note 2 2 2 3 2 3 5" xfId="19649" xr:uid="{00000000-0005-0000-0000-000028520000}"/>
    <cellStyle name="Note 2 2 2 3 2 4" xfId="16698" xr:uid="{00000000-0005-0000-0000-000029520000}"/>
    <cellStyle name="Note 2 2 2 3 2 4 2" xfId="16699" xr:uid="{00000000-0005-0000-0000-00002A520000}"/>
    <cellStyle name="Note 2 2 2 3 2 4 2 2" xfId="16700" xr:uid="{00000000-0005-0000-0000-00002B520000}"/>
    <cellStyle name="Note 2 2 2 3 2 4 2 3" xfId="22881" xr:uid="{00000000-0005-0000-0000-00002C520000}"/>
    <cellStyle name="Note 2 2 2 3 2 4 3" xfId="16701" xr:uid="{00000000-0005-0000-0000-00002D520000}"/>
    <cellStyle name="Note 2 2 2 3 2 4 4" xfId="20298" xr:uid="{00000000-0005-0000-0000-00002E520000}"/>
    <cellStyle name="Note 2 2 2 3 2 5" xfId="16702" xr:uid="{00000000-0005-0000-0000-00002F520000}"/>
    <cellStyle name="Note 2 2 2 3 2 5 2" xfId="16703" xr:uid="{00000000-0005-0000-0000-000030520000}"/>
    <cellStyle name="Note 2 2 2 3 2 5 3" xfId="21591" xr:uid="{00000000-0005-0000-0000-000031520000}"/>
    <cellStyle name="Note 2 2 2 3 2 6" xfId="16704" xr:uid="{00000000-0005-0000-0000-000032520000}"/>
    <cellStyle name="Note 2 2 2 3 2 7" xfId="18997" xr:uid="{00000000-0005-0000-0000-000033520000}"/>
    <cellStyle name="Note 2 2 2 3 3" xfId="16705" xr:uid="{00000000-0005-0000-0000-000034520000}"/>
    <cellStyle name="Note 2 2 2 3 3 2" xfId="16706" xr:uid="{00000000-0005-0000-0000-000035520000}"/>
    <cellStyle name="Note 2 2 2 3 3 2 2" xfId="16707" xr:uid="{00000000-0005-0000-0000-000036520000}"/>
    <cellStyle name="Note 2 2 2 3 3 2 2 2" xfId="16708" xr:uid="{00000000-0005-0000-0000-000037520000}"/>
    <cellStyle name="Note 2 2 2 3 3 2 2 2 2" xfId="16709" xr:uid="{00000000-0005-0000-0000-000038520000}"/>
    <cellStyle name="Note 2 2 2 3 3 2 2 2 3" xfId="23687" xr:uid="{00000000-0005-0000-0000-000039520000}"/>
    <cellStyle name="Note 2 2 2 3 3 2 2 3" xfId="16710" xr:uid="{00000000-0005-0000-0000-00003A520000}"/>
    <cellStyle name="Note 2 2 2 3 3 2 2 4" xfId="21104" xr:uid="{00000000-0005-0000-0000-00003B520000}"/>
    <cellStyle name="Note 2 2 2 3 3 2 3" xfId="16711" xr:uid="{00000000-0005-0000-0000-00003C520000}"/>
    <cellStyle name="Note 2 2 2 3 3 2 3 2" xfId="16712" xr:uid="{00000000-0005-0000-0000-00003D520000}"/>
    <cellStyle name="Note 2 2 2 3 3 2 3 3" xfId="22397" xr:uid="{00000000-0005-0000-0000-00003E520000}"/>
    <cellStyle name="Note 2 2 2 3 3 2 4" xfId="16713" xr:uid="{00000000-0005-0000-0000-00003F520000}"/>
    <cellStyle name="Note 2 2 2 3 3 2 5" xfId="19810" xr:uid="{00000000-0005-0000-0000-000040520000}"/>
    <cellStyle name="Note 2 2 2 3 3 3" xfId="16714" xr:uid="{00000000-0005-0000-0000-000041520000}"/>
    <cellStyle name="Note 2 2 2 3 3 3 2" xfId="16715" xr:uid="{00000000-0005-0000-0000-000042520000}"/>
    <cellStyle name="Note 2 2 2 3 3 3 2 2" xfId="16716" xr:uid="{00000000-0005-0000-0000-000043520000}"/>
    <cellStyle name="Note 2 2 2 3 3 3 2 3" xfId="23042" xr:uid="{00000000-0005-0000-0000-000044520000}"/>
    <cellStyle name="Note 2 2 2 3 3 3 3" xfId="16717" xr:uid="{00000000-0005-0000-0000-000045520000}"/>
    <cellStyle name="Note 2 2 2 3 3 3 4" xfId="20459" xr:uid="{00000000-0005-0000-0000-000046520000}"/>
    <cellStyle name="Note 2 2 2 3 3 4" xfId="16718" xr:uid="{00000000-0005-0000-0000-000047520000}"/>
    <cellStyle name="Note 2 2 2 3 3 4 2" xfId="16719" xr:uid="{00000000-0005-0000-0000-000048520000}"/>
    <cellStyle name="Note 2 2 2 3 3 4 3" xfId="21752" xr:uid="{00000000-0005-0000-0000-000049520000}"/>
    <cellStyle name="Note 2 2 2 3 3 5" xfId="16720" xr:uid="{00000000-0005-0000-0000-00004A520000}"/>
    <cellStyle name="Note 2 2 2 3 3 6" xfId="19162" xr:uid="{00000000-0005-0000-0000-00004B520000}"/>
    <cellStyle name="Note 2 2 2 3 4" xfId="16721" xr:uid="{00000000-0005-0000-0000-00004C520000}"/>
    <cellStyle name="Note 2 2 2 3 4 2" xfId="16722" xr:uid="{00000000-0005-0000-0000-00004D520000}"/>
    <cellStyle name="Note 2 2 2 3 4 2 2" xfId="16723" xr:uid="{00000000-0005-0000-0000-00004E520000}"/>
    <cellStyle name="Note 2 2 2 3 4 2 2 2" xfId="16724" xr:uid="{00000000-0005-0000-0000-00004F520000}"/>
    <cellStyle name="Note 2 2 2 3 4 2 2 3" xfId="23365" xr:uid="{00000000-0005-0000-0000-000050520000}"/>
    <cellStyle name="Note 2 2 2 3 4 2 3" xfId="16725" xr:uid="{00000000-0005-0000-0000-000051520000}"/>
    <cellStyle name="Note 2 2 2 3 4 2 4" xfId="20782" xr:uid="{00000000-0005-0000-0000-000052520000}"/>
    <cellStyle name="Note 2 2 2 3 4 3" xfId="16726" xr:uid="{00000000-0005-0000-0000-000053520000}"/>
    <cellStyle name="Note 2 2 2 3 4 3 2" xfId="16727" xr:uid="{00000000-0005-0000-0000-000054520000}"/>
    <cellStyle name="Note 2 2 2 3 4 3 3" xfId="22075" xr:uid="{00000000-0005-0000-0000-000055520000}"/>
    <cellStyle name="Note 2 2 2 3 4 4" xfId="16728" xr:uid="{00000000-0005-0000-0000-000056520000}"/>
    <cellStyle name="Note 2 2 2 3 4 5" xfId="19488" xr:uid="{00000000-0005-0000-0000-000057520000}"/>
    <cellStyle name="Note 2 2 2 3 5" xfId="16729" xr:uid="{00000000-0005-0000-0000-000058520000}"/>
    <cellStyle name="Note 2 2 2 3 5 2" xfId="16730" xr:uid="{00000000-0005-0000-0000-000059520000}"/>
    <cellStyle name="Note 2 2 2 3 5 2 2" xfId="16731" xr:uid="{00000000-0005-0000-0000-00005A520000}"/>
    <cellStyle name="Note 2 2 2 3 5 2 3" xfId="22720" xr:uid="{00000000-0005-0000-0000-00005B520000}"/>
    <cellStyle name="Note 2 2 2 3 5 3" xfId="16732" xr:uid="{00000000-0005-0000-0000-00005C520000}"/>
    <cellStyle name="Note 2 2 2 3 5 4" xfId="20137" xr:uid="{00000000-0005-0000-0000-00005D520000}"/>
    <cellStyle name="Note 2 2 2 3 6" xfId="16733" xr:uid="{00000000-0005-0000-0000-00005E520000}"/>
    <cellStyle name="Note 2 2 2 3 6 2" xfId="16734" xr:uid="{00000000-0005-0000-0000-00005F520000}"/>
    <cellStyle name="Note 2 2 2 3 6 3" xfId="21430" xr:uid="{00000000-0005-0000-0000-000060520000}"/>
    <cellStyle name="Note 2 2 2 3 7" xfId="16735" xr:uid="{00000000-0005-0000-0000-000061520000}"/>
    <cellStyle name="Note 2 2 2 3 8" xfId="18831" xr:uid="{00000000-0005-0000-0000-000062520000}"/>
    <cellStyle name="Note 2 2 2 4" xfId="16736" xr:uid="{00000000-0005-0000-0000-000063520000}"/>
    <cellStyle name="Note 2 2 2 4 2" xfId="16737" xr:uid="{00000000-0005-0000-0000-000064520000}"/>
    <cellStyle name="Note 2 2 2 4 2 2" xfId="16738" xr:uid="{00000000-0005-0000-0000-000065520000}"/>
    <cellStyle name="Note 2 2 2 4 2 2 2" xfId="16739" xr:uid="{00000000-0005-0000-0000-000066520000}"/>
    <cellStyle name="Note 2 2 2 4 2 2 2 2" xfId="16740" xr:uid="{00000000-0005-0000-0000-000067520000}"/>
    <cellStyle name="Note 2 2 2 4 2 2 2 2 2" xfId="16741" xr:uid="{00000000-0005-0000-0000-000068520000}"/>
    <cellStyle name="Note 2 2 2 4 2 2 2 2 3" xfId="23768" xr:uid="{00000000-0005-0000-0000-000069520000}"/>
    <cellStyle name="Note 2 2 2 4 2 2 2 3" xfId="16742" xr:uid="{00000000-0005-0000-0000-00006A520000}"/>
    <cellStyle name="Note 2 2 2 4 2 2 2 4" xfId="21185" xr:uid="{00000000-0005-0000-0000-00006B520000}"/>
    <cellStyle name="Note 2 2 2 4 2 2 3" xfId="16743" xr:uid="{00000000-0005-0000-0000-00006C520000}"/>
    <cellStyle name="Note 2 2 2 4 2 2 3 2" xfId="16744" xr:uid="{00000000-0005-0000-0000-00006D520000}"/>
    <cellStyle name="Note 2 2 2 4 2 2 3 3" xfId="22478" xr:uid="{00000000-0005-0000-0000-00006E520000}"/>
    <cellStyle name="Note 2 2 2 4 2 2 4" xfId="16745" xr:uid="{00000000-0005-0000-0000-00006F520000}"/>
    <cellStyle name="Note 2 2 2 4 2 2 5" xfId="19891" xr:uid="{00000000-0005-0000-0000-000070520000}"/>
    <cellStyle name="Note 2 2 2 4 2 3" xfId="16746" xr:uid="{00000000-0005-0000-0000-000071520000}"/>
    <cellStyle name="Note 2 2 2 4 2 3 2" xfId="16747" xr:uid="{00000000-0005-0000-0000-000072520000}"/>
    <cellStyle name="Note 2 2 2 4 2 3 2 2" xfId="16748" xr:uid="{00000000-0005-0000-0000-000073520000}"/>
    <cellStyle name="Note 2 2 2 4 2 3 2 3" xfId="23123" xr:uid="{00000000-0005-0000-0000-000074520000}"/>
    <cellStyle name="Note 2 2 2 4 2 3 3" xfId="16749" xr:uid="{00000000-0005-0000-0000-000075520000}"/>
    <cellStyle name="Note 2 2 2 4 2 3 4" xfId="20540" xr:uid="{00000000-0005-0000-0000-000076520000}"/>
    <cellStyle name="Note 2 2 2 4 2 4" xfId="16750" xr:uid="{00000000-0005-0000-0000-000077520000}"/>
    <cellStyle name="Note 2 2 2 4 2 4 2" xfId="16751" xr:uid="{00000000-0005-0000-0000-000078520000}"/>
    <cellStyle name="Note 2 2 2 4 2 4 3" xfId="21833" xr:uid="{00000000-0005-0000-0000-000079520000}"/>
    <cellStyle name="Note 2 2 2 4 2 5" xfId="16752" xr:uid="{00000000-0005-0000-0000-00007A520000}"/>
    <cellStyle name="Note 2 2 2 4 2 6" xfId="19243" xr:uid="{00000000-0005-0000-0000-00007B520000}"/>
    <cellStyle name="Note 2 2 2 4 3" xfId="16753" xr:uid="{00000000-0005-0000-0000-00007C520000}"/>
    <cellStyle name="Note 2 2 2 4 3 2" xfId="16754" xr:uid="{00000000-0005-0000-0000-00007D520000}"/>
    <cellStyle name="Note 2 2 2 4 3 2 2" xfId="16755" xr:uid="{00000000-0005-0000-0000-00007E520000}"/>
    <cellStyle name="Note 2 2 2 4 3 2 2 2" xfId="16756" xr:uid="{00000000-0005-0000-0000-00007F520000}"/>
    <cellStyle name="Note 2 2 2 4 3 2 2 3" xfId="23446" xr:uid="{00000000-0005-0000-0000-000080520000}"/>
    <cellStyle name="Note 2 2 2 4 3 2 3" xfId="16757" xr:uid="{00000000-0005-0000-0000-000081520000}"/>
    <cellStyle name="Note 2 2 2 4 3 2 4" xfId="20863" xr:uid="{00000000-0005-0000-0000-000082520000}"/>
    <cellStyle name="Note 2 2 2 4 3 3" xfId="16758" xr:uid="{00000000-0005-0000-0000-000083520000}"/>
    <cellStyle name="Note 2 2 2 4 3 3 2" xfId="16759" xr:uid="{00000000-0005-0000-0000-000084520000}"/>
    <cellStyle name="Note 2 2 2 4 3 3 3" xfId="22156" xr:uid="{00000000-0005-0000-0000-000085520000}"/>
    <cellStyle name="Note 2 2 2 4 3 4" xfId="16760" xr:uid="{00000000-0005-0000-0000-000086520000}"/>
    <cellStyle name="Note 2 2 2 4 3 5" xfId="19569" xr:uid="{00000000-0005-0000-0000-000087520000}"/>
    <cellStyle name="Note 2 2 2 4 4" xfId="16761" xr:uid="{00000000-0005-0000-0000-000088520000}"/>
    <cellStyle name="Note 2 2 2 4 4 2" xfId="16762" xr:uid="{00000000-0005-0000-0000-000089520000}"/>
    <cellStyle name="Note 2 2 2 4 4 2 2" xfId="16763" xr:uid="{00000000-0005-0000-0000-00008A520000}"/>
    <cellStyle name="Note 2 2 2 4 4 2 3" xfId="22801" xr:uid="{00000000-0005-0000-0000-00008B520000}"/>
    <cellStyle name="Note 2 2 2 4 4 3" xfId="16764" xr:uid="{00000000-0005-0000-0000-00008C520000}"/>
    <cellStyle name="Note 2 2 2 4 4 4" xfId="20218" xr:uid="{00000000-0005-0000-0000-00008D520000}"/>
    <cellStyle name="Note 2 2 2 4 5" xfId="16765" xr:uid="{00000000-0005-0000-0000-00008E520000}"/>
    <cellStyle name="Note 2 2 2 4 5 2" xfId="16766" xr:uid="{00000000-0005-0000-0000-00008F520000}"/>
    <cellStyle name="Note 2 2 2 4 5 3" xfId="21511" xr:uid="{00000000-0005-0000-0000-000090520000}"/>
    <cellStyle name="Note 2 2 2 4 6" xfId="16767" xr:uid="{00000000-0005-0000-0000-000091520000}"/>
    <cellStyle name="Note 2 2 2 4 7" xfId="18917" xr:uid="{00000000-0005-0000-0000-000092520000}"/>
    <cellStyle name="Note 2 2 2 5" xfId="16768" xr:uid="{00000000-0005-0000-0000-000093520000}"/>
    <cellStyle name="Note 2 2 2 5 2" xfId="16769" xr:uid="{00000000-0005-0000-0000-000094520000}"/>
    <cellStyle name="Note 2 2 2 5 2 2" xfId="16770" xr:uid="{00000000-0005-0000-0000-000095520000}"/>
    <cellStyle name="Note 2 2 2 5 2 2 2" xfId="16771" xr:uid="{00000000-0005-0000-0000-000096520000}"/>
    <cellStyle name="Note 2 2 2 5 2 2 2 2" xfId="16772" xr:uid="{00000000-0005-0000-0000-000097520000}"/>
    <cellStyle name="Note 2 2 2 5 2 2 2 3" xfId="23607" xr:uid="{00000000-0005-0000-0000-000098520000}"/>
    <cellStyle name="Note 2 2 2 5 2 2 3" xfId="16773" xr:uid="{00000000-0005-0000-0000-000099520000}"/>
    <cellStyle name="Note 2 2 2 5 2 2 4" xfId="21024" xr:uid="{00000000-0005-0000-0000-00009A520000}"/>
    <cellStyle name="Note 2 2 2 5 2 3" xfId="16774" xr:uid="{00000000-0005-0000-0000-00009B520000}"/>
    <cellStyle name="Note 2 2 2 5 2 3 2" xfId="16775" xr:uid="{00000000-0005-0000-0000-00009C520000}"/>
    <cellStyle name="Note 2 2 2 5 2 3 3" xfId="22317" xr:uid="{00000000-0005-0000-0000-00009D520000}"/>
    <cellStyle name="Note 2 2 2 5 2 4" xfId="16776" xr:uid="{00000000-0005-0000-0000-00009E520000}"/>
    <cellStyle name="Note 2 2 2 5 2 5" xfId="19730" xr:uid="{00000000-0005-0000-0000-00009F520000}"/>
    <cellStyle name="Note 2 2 2 5 3" xfId="16777" xr:uid="{00000000-0005-0000-0000-0000A0520000}"/>
    <cellStyle name="Note 2 2 2 5 3 2" xfId="16778" xr:uid="{00000000-0005-0000-0000-0000A1520000}"/>
    <cellStyle name="Note 2 2 2 5 3 2 2" xfId="16779" xr:uid="{00000000-0005-0000-0000-0000A2520000}"/>
    <cellStyle name="Note 2 2 2 5 3 2 3" xfId="22962" xr:uid="{00000000-0005-0000-0000-0000A3520000}"/>
    <cellStyle name="Note 2 2 2 5 3 3" xfId="16780" xr:uid="{00000000-0005-0000-0000-0000A4520000}"/>
    <cellStyle name="Note 2 2 2 5 3 4" xfId="20379" xr:uid="{00000000-0005-0000-0000-0000A5520000}"/>
    <cellStyle name="Note 2 2 2 5 4" xfId="16781" xr:uid="{00000000-0005-0000-0000-0000A6520000}"/>
    <cellStyle name="Note 2 2 2 5 4 2" xfId="16782" xr:uid="{00000000-0005-0000-0000-0000A7520000}"/>
    <cellStyle name="Note 2 2 2 5 4 3" xfId="21672" xr:uid="{00000000-0005-0000-0000-0000A8520000}"/>
    <cellStyle name="Note 2 2 2 5 5" xfId="16783" xr:uid="{00000000-0005-0000-0000-0000A9520000}"/>
    <cellStyle name="Note 2 2 2 5 6" xfId="19082" xr:uid="{00000000-0005-0000-0000-0000AA520000}"/>
    <cellStyle name="Note 2 2 2 6" xfId="16784" xr:uid="{00000000-0005-0000-0000-0000AB520000}"/>
    <cellStyle name="Note 2 2 2 6 2" xfId="16785" xr:uid="{00000000-0005-0000-0000-0000AC520000}"/>
    <cellStyle name="Note 2 2 2 6 2 2" xfId="16786" xr:uid="{00000000-0005-0000-0000-0000AD520000}"/>
    <cellStyle name="Note 2 2 2 6 2 2 2" xfId="16787" xr:uid="{00000000-0005-0000-0000-0000AE520000}"/>
    <cellStyle name="Note 2 2 2 6 2 2 3" xfId="23284" xr:uid="{00000000-0005-0000-0000-0000AF520000}"/>
    <cellStyle name="Note 2 2 2 6 2 3" xfId="16788" xr:uid="{00000000-0005-0000-0000-0000B0520000}"/>
    <cellStyle name="Note 2 2 2 6 2 4" xfId="20701" xr:uid="{00000000-0005-0000-0000-0000B1520000}"/>
    <cellStyle name="Note 2 2 2 6 3" xfId="16789" xr:uid="{00000000-0005-0000-0000-0000B2520000}"/>
    <cellStyle name="Note 2 2 2 6 3 2" xfId="16790" xr:uid="{00000000-0005-0000-0000-0000B3520000}"/>
    <cellStyle name="Note 2 2 2 6 3 3" xfId="21994" xr:uid="{00000000-0005-0000-0000-0000B4520000}"/>
    <cellStyle name="Note 2 2 2 6 4" xfId="16791" xr:uid="{00000000-0005-0000-0000-0000B5520000}"/>
    <cellStyle name="Note 2 2 2 6 5" xfId="19408" xr:uid="{00000000-0005-0000-0000-0000B6520000}"/>
    <cellStyle name="Note 2 2 2 7" xfId="16792" xr:uid="{00000000-0005-0000-0000-0000B7520000}"/>
    <cellStyle name="Note 2 2 2 7 2" xfId="16793" xr:uid="{00000000-0005-0000-0000-0000B8520000}"/>
    <cellStyle name="Note 2 2 2 7 2 2" xfId="16794" xr:uid="{00000000-0005-0000-0000-0000B9520000}"/>
    <cellStyle name="Note 2 2 2 7 2 3" xfId="22639" xr:uid="{00000000-0005-0000-0000-0000BA520000}"/>
    <cellStyle name="Note 2 2 2 7 3" xfId="16795" xr:uid="{00000000-0005-0000-0000-0000BB520000}"/>
    <cellStyle name="Note 2 2 2 7 4" xfId="20056" xr:uid="{00000000-0005-0000-0000-0000BC520000}"/>
    <cellStyle name="Note 2 2 2 8" xfId="16796" xr:uid="{00000000-0005-0000-0000-0000BD520000}"/>
    <cellStyle name="Note 2 2 2 8 2" xfId="16797" xr:uid="{00000000-0005-0000-0000-0000BE520000}"/>
    <cellStyle name="Note 2 2 2 8 3" xfId="21349" xr:uid="{00000000-0005-0000-0000-0000BF520000}"/>
    <cellStyle name="Note 2 2 2 9" xfId="16798" xr:uid="{00000000-0005-0000-0000-0000C0520000}"/>
    <cellStyle name="Note 2 2 3" xfId="16799" xr:uid="{00000000-0005-0000-0000-0000C1520000}"/>
    <cellStyle name="Note 2 2 3 2" xfId="16800" xr:uid="{00000000-0005-0000-0000-0000C2520000}"/>
    <cellStyle name="Note 2 2 3 2 2" xfId="16801" xr:uid="{00000000-0005-0000-0000-0000C3520000}"/>
    <cellStyle name="Note 2 2 3 2 2 2" xfId="16802" xr:uid="{00000000-0005-0000-0000-0000C4520000}"/>
    <cellStyle name="Note 2 2 3 2 2 2 2" xfId="16803" xr:uid="{00000000-0005-0000-0000-0000C5520000}"/>
    <cellStyle name="Note 2 2 3 2 2 2 2 2" xfId="16804" xr:uid="{00000000-0005-0000-0000-0000C6520000}"/>
    <cellStyle name="Note 2 2 3 2 2 2 2 2 2" xfId="16805" xr:uid="{00000000-0005-0000-0000-0000C7520000}"/>
    <cellStyle name="Note 2 2 3 2 2 2 2 2 2 2" xfId="16806" xr:uid="{00000000-0005-0000-0000-0000C8520000}"/>
    <cellStyle name="Note 2 2 3 2 2 2 2 2 2 3" xfId="23868" xr:uid="{00000000-0005-0000-0000-0000C9520000}"/>
    <cellStyle name="Note 2 2 3 2 2 2 2 2 3" xfId="16807" xr:uid="{00000000-0005-0000-0000-0000CA520000}"/>
    <cellStyle name="Note 2 2 3 2 2 2 2 2 4" xfId="21285" xr:uid="{00000000-0005-0000-0000-0000CB520000}"/>
    <cellStyle name="Note 2 2 3 2 2 2 2 3" xfId="16808" xr:uid="{00000000-0005-0000-0000-0000CC520000}"/>
    <cellStyle name="Note 2 2 3 2 2 2 2 3 2" xfId="16809" xr:uid="{00000000-0005-0000-0000-0000CD520000}"/>
    <cellStyle name="Note 2 2 3 2 2 2 2 3 3" xfId="22578" xr:uid="{00000000-0005-0000-0000-0000CE520000}"/>
    <cellStyle name="Note 2 2 3 2 2 2 2 4" xfId="16810" xr:uid="{00000000-0005-0000-0000-0000CF520000}"/>
    <cellStyle name="Note 2 2 3 2 2 2 2 5" xfId="19991" xr:uid="{00000000-0005-0000-0000-0000D0520000}"/>
    <cellStyle name="Note 2 2 3 2 2 2 3" xfId="16811" xr:uid="{00000000-0005-0000-0000-0000D1520000}"/>
    <cellStyle name="Note 2 2 3 2 2 2 3 2" xfId="16812" xr:uid="{00000000-0005-0000-0000-0000D2520000}"/>
    <cellStyle name="Note 2 2 3 2 2 2 3 2 2" xfId="16813" xr:uid="{00000000-0005-0000-0000-0000D3520000}"/>
    <cellStyle name="Note 2 2 3 2 2 2 3 2 3" xfId="23223" xr:uid="{00000000-0005-0000-0000-0000D4520000}"/>
    <cellStyle name="Note 2 2 3 2 2 2 3 3" xfId="16814" xr:uid="{00000000-0005-0000-0000-0000D5520000}"/>
    <cellStyle name="Note 2 2 3 2 2 2 3 4" xfId="20640" xr:uid="{00000000-0005-0000-0000-0000D6520000}"/>
    <cellStyle name="Note 2 2 3 2 2 2 4" xfId="16815" xr:uid="{00000000-0005-0000-0000-0000D7520000}"/>
    <cellStyle name="Note 2 2 3 2 2 2 4 2" xfId="16816" xr:uid="{00000000-0005-0000-0000-0000D8520000}"/>
    <cellStyle name="Note 2 2 3 2 2 2 4 3" xfId="21933" xr:uid="{00000000-0005-0000-0000-0000D9520000}"/>
    <cellStyle name="Note 2 2 3 2 2 2 5" xfId="16817" xr:uid="{00000000-0005-0000-0000-0000DA520000}"/>
    <cellStyle name="Note 2 2 3 2 2 2 6" xfId="19343" xr:uid="{00000000-0005-0000-0000-0000DB520000}"/>
    <cellStyle name="Note 2 2 3 2 2 3" xfId="16818" xr:uid="{00000000-0005-0000-0000-0000DC520000}"/>
    <cellStyle name="Note 2 2 3 2 2 3 2" xfId="16819" xr:uid="{00000000-0005-0000-0000-0000DD520000}"/>
    <cellStyle name="Note 2 2 3 2 2 3 2 2" xfId="16820" xr:uid="{00000000-0005-0000-0000-0000DE520000}"/>
    <cellStyle name="Note 2 2 3 2 2 3 2 2 2" xfId="16821" xr:uid="{00000000-0005-0000-0000-0000DF520000}"/>
    <cellStyle name="Note 2 2 3 2 2 3 2 2 3" xfId="23546" xr:uid="{00000000-0005-0000-0000-0000E0520000}"/>
    <cellStyle name="Note 2 2 3 2 2 3 2 3" xfId="16822" xr:uid="{00000000-0005-0000-0000-0000E1520000}"/>
    <cellStyle name="Note 2 2 3 2 2 3 2 4" xfId="20963" xr:uid="{00000000-0005-0000-0000-0000E2520000}"/>
    <cellStyle name="Note 2 2 3 2 2 3 3" xfId="16823" xr:uid="{00000000-0005-0000-0000-0000E3520000}"/>
    <cellStyle name="Note 2 2 3 2 2 3 3 2" xfId="16824" xr:uid="{00000000-0005-0000-0000-0000E4520000}"/>
    <cellStyle name="Note 2 2 3 2 2 3 3 3" xfId="22256" xr:uid="{00000000-0005-0000-0000-0000E5520000}"/>
    <cellStyle name="Note 2 2 3 2 2 3 4" xfId="16825" xr:uid="{00000000-0005-0000-0000-0000E6520000}"/>
    <cellStyle name="Note 2 2 3 2 2 3 5" xfId="19669" xr:uid="{00000000-0005-0000-0000-0000E7520000}"/>
    <cellStyle name="Note 2 2 3 2 2 4" xfId="16826" xr:uid="{00000000-0005-0000-0000-0000E8520000}"/>
    <cellStyle name="Note 2 2 3 2 2 4 2" xfId="16827" xr:uid="{00000000-0005-0000-0000-0000E9520000}"/>
    <cellStyle name="Note 2 2 3 2 2 4 2 2" xfId="16828" xr:uid="{00000000-0005-0000-0000-0000EA520000}"/>
    <cellStyle name="Note 2 2 3 2 2 4 2 3" xfId="22901" xr:uid="{00000000-0005-0000-0000-0000EB520000}"/>
    <cellStyle name="Note 2 2 3 2 2 4 3" xfId="16829" xr:uid="{00000000-0005-0000-0000-0000EC520000}"/>
    <cellStyle name="Note 2 2 3 2 2 4 4" xfId="20318" xr:uid="{00000000-0005-0000-0000-0000ED520000}"/>
    <cellStyle name="Note 2 2 3 2 2 5" xfId="16830" xr:uid="{00000000-0005-0000-0000-0000EE520000}"/>
    <cellStyle name="Note 2 2 3 2 2 5 2" xfId="16831" xr:uid="{00000000-0005-0000-0000-0000EF520000}"/>
    <cellStyle name="Note 2 2 3 2 2 5 3" xfId="21611" xr:uid="{00000000-0005-0000-0000-0000F0520000}"/>
    <cellStyle name="Note 2 2 3 2 2 6" xfId="16832" xr:uid="{00000000-0005-0000-0000-0000F1520000}"/>
    <cellStyle name="Note 2 2 3 2 2 7" xfId="19017" xr:uid="{00000000-0005-0000-0000-0000F2520000}"/>
    <cellStyle name="Note 2 2 3 2 3" xfId="16833" xr:uid="{00000000-0005-0000-0000-0000F3520000}"/>
    <cellStyle name="Note 2 2 3 2 3 2" xfId="16834" xr:uid="{00000000-0005-0000-0000-0000F4520000}"/>
    <cellStyle name="Note 2 2 3 2 3 2 2" xfId="16835" xr:uid="{00000000-0005-0000-0000-0000F5520000}"/>
    <cellStyle name="Note 2 2 3 2 3 2 2 2" xfId="16836" xr:uid="{00000000-0005-0000-0000-0000F6520000}"/>
    <cellStyle name="Note 2 2 3 2 3 2 2 2 2" xfId="16837" xr:uid="{00000000-0005-0000-0000-0000F7520000}"/>
    <cellStyle name="Note 2 2 3 2 3 2 2 2 3" xfId="23707" xr:uid="{00000000-0005-0000-0000-0000F8520000}"/>
    <cellStyle name="Note 2 2 3 2 3 2 2 3" xfId="16838" xr:uid="{00000000-0005-0000-0000-0000F9520000}"/>
    <cellStyle name="Note 2 2 3 2 3 2 2 4" xfId="21124" xr:uid="{00000000-0005-0000-0000-0000FA520000}"/>
    <cellStyle name="Note 2 2 3 2 3 2 3" xfId="16839" xr:uid="{00000000-0005-0000-0000-0000FB520000}"/>
    <cellStyle name="Note 2 2 3 2 3 2 3 2" xfId="16840" xr:uid="{00000000-0005-0000-0000-0000FC520000}"/>
    <cellStyle name="Note 2 2 3 2 3 2 3 3" xfId="22417" xr:uid="{00000000-0005-0000-0000-0000FD520000}"/>
    <cellStyle name="Note 2 2 3 2 3 2 4" xfId="16841" xr:uid="{00000000-0005-0000-0000-0000FE520000}"/>
    <cellStyle name="Note 2 2 3 2 3 2 5" xfId="19830" xr:uid="{00000000-0005-0000-0000-0000FF520000}"/>
    <cellStyle name="Note 2 2 3 2 3 3" xfId="16842" xr:uid="{00000000-0005-0000-0000-000000530000}"/>
    <cellStyle name="Note 2 2 3 2 3 3 2" xfId="16843" xr:uid="{00000000-0005-0000-0000-000001530000}"/>
    <cellStyle name="Note 2 2 3 2 3 3 2 2" xfId="16844" xr:uid="{00000000-0005-0000-0000-000002530000}"/>
    <cellStyle name="Note 2 2 3 2 3 3 2 3" xfId="23062" xr:uid="{00000000-0005-0000-0000-000003530000}"/>
    <cellStyle name="Note 2 2 3 2 3 3 3" xfId="16845" xr:uid="{00000000-0005-0000-0000-000004530000}"/>
    <cellStyle name="Note 2 2 3 2 3 3 4" xfId="20479" xr:uid="{00000000-0005-0000-0000-000005530000}"/>
    <cellStyle name="Note 2 2 3 2 3 4" xfId="16846" xr:uid="{00000000-0005-0000-0000-000006530000}"/>
    <cellStyle name="Note 2 2 3 2 3 4 2" xfId="16847" xr:uid="{00000000-0005-0000-0000-000007530000}"/>
    <cellStyle name="Note 2 2 3 2 3 4 3" xfId="21772" xr:uid="{00000000-0005-0000-0000-000008530000}"/>
    <cellStyle name="Note 2 2 3 2 3 5" xfId="16848" xr:uid="{00000000-0005-0000-0000-000009530000}"/>
    <cellStyle name="Note 2 2 3 2 3 6" xfId="19182" xr:uid="{00000000-0005-0000-0000-00000A530000}"/>
    <cellStyle name="Note 2 2 3 2 4" xfId="16849" xr:uid="{00000000-0005-0000-0000-00000B530000}"/>
    <cellStyle name="Note 2 2 3 2 4 2" xfId="16850" xr:uid="{00000000-0005-0000-0000-00000C530000}"/>
    <cellStyle name="Note 2 2 3 2 4 2 2" xfId="16851" xr:uid="{00000000-0005-0000-0000-00000D530000}"/>
    <cellStyle name="Note 2 2 3 2 4 2 2 2" xfId="16852" xr:uid="{00000000-0005-0000-0000-00000E530000}"/>
    <cellStyle name="Note 2 2 3 2 4 2 2 3" xfId="23385" xr:uid="{00000000-0005-0000-0000-00000F530000}"/>
    <cellStyle name="Note 2 2 3 2 4 2 3" xfId="16853" xr:uid="{00000000-0005-0000-0000-000010530000}"/>
    <cellStyle name="Note 2 2 3 2 4 2 4" xfId="20802" xr:uid="{00000000-0005-0000-0000-000011530000}"/>
    <cellStyle name="Note 2 2 3 2 4 3" xfId="16854" xr:uid="{00000000-0005-0000-0000-000012530000}"/>
    <cellStyle name="Note 2 2 3 2 4 3 2" xfId="16855" xr:uid="{00000000-0005-0000-0000-000013530000}"/>
    <cellStyle name="Note 2 2 3 2 4 3 3" xfId="22095" xr:uid="{00000000-0005-0000-0000-000014530000}"/>
    <cellStyle name="Note 2 2 3 2 4 4" xfId="16856" xr:uid="{00000000-0005-0000-0000-000015530000}"/>
    <cellStyle name="Note 2 2 3 2 4 5" xfId="19508" xr:uid="{00000000-0005-0000-0000-000016530000}"/>
    <cellStyle name="Note 2 2 3 2 5" xfId="16857" xr:uid="{00000000-0005-0000-0000-000017530000}"/>
    <cellStyle name="Note 2 2 3 2 5 2" xfId="16858" xr:uid="{00000000-0005-0000-0000-000018530000}"/>
    <cellStyle name="Note 2 2 3 2 5 2 2" xfId="16859" xr:uid="{00000000-0005-0000-0000-000019530000}"/>
    <cellStyle name="Note 2 2 3 2 5 2 3" xfId="22740" xr:uid="{00000000-0005-0000-0000-00001A530000}"/>
    <cellStyle name="Note 2 2 3 2 5 3" xfId="16860" xr:uid="{00000000-0005-0000-0000-00001B530000}"/>
    <cellStyle name="Note 2 2 3 2 5 4" xfId="20157" xr:uid="{00000000-0005-0000-0000-00001C530000}"/>
    <cellStyle name="Note 2 2 3 2 6" xfId="16861" xr:uid="{00000000-0005-0000-0000-00001D530000}"/>
    <cellStyle name="Note 2 2 3 2 6 2" xfId="16862" xr:uid="{00000000-0005-0000-0000-00001E530000}"/>
    <cellStyle name="Note 2 2 3 2 6 3" xfId="21450" xr:uid="{00000000-0005-0000-0000-00001F530000}"/>
    <cellStyle name="Note 2 2 3 2 7" xfId="16863" xr:uid="{00000000-0005-0000-0000-000020530000}"/>
    <cellStyle name="Note 2 2 3 2 8" xfId="18852" xr:uid="{00000000-0005-0000-0000-000021530000}"/>
    <cellStyle name="Note 2 2 3 3" xfId="16864" xr:uid="{00000000-0005-0000-0000-000022530000}"/>
    <cellStyle name="Note 2 2 3 3 2" xfId="16865" xr:uid="{00000000-0005-0000-0000-000023530000}"/>
    <cellStyle name="Note 2 2 3 3 2 2" xfId="16866" xr:uid="{00000000-0005-0000-0000-000024530000}"/>
    <cellStyle name="Note 2 2 3 3 2 2 2" xfId="16867" xr:uid="{00000000-0005-0000-0000-000025530000}"/>
    <cellStyle name="Note 2 2 3 3 2 2 2 2" xfId="16868" xr:uid="{00000000-0005-0000-0000-000026530000}"/>
    <cellStyle name="Note 2 2 3 3 2 2 2 2 2" xfId="16869" xr:uid="{00000000-0005-0000-0000-000027530000}"/>
    <cellStyle name="Note 2 2 3 3 2 2 2 2 3" xfId="23788" xr:uid="{00000000-0005-0000-0000-000028530000}"/>
    <cellStyle name="Note 2 2 3 3 2 2 2 3" xfId="16870" xr:uid="{00000000-0005-0000-0000-000029530000}"/>
    <cellStyle name="Note 2 2 3 3 2 2 2 4" xfId="21205" xr:uid="{00000000-0005-0000-0000-00002A530000}"/>
    <cellStyle name="Note 2 2 3 3 2 2 3" xfId="16871" xr:uid="{00000000-0005-0000-0000-00002B530000}"/>
    <cellStyle name="Note 2 2 3 3 2 2 3 2" xfId="16872" xr:uid="{00000000-0005-0000-0000-00002C530000}"/>
    <cellStyle name="Note 2 2 3 3 2 2 3 3" xfId="22498" xr:uid="{00000000-0005-0000-0000-00002D530000}"/>
    <cellStyle name="Note 2 2 3 3 2 2 4" xfId="16873" xr:uid="{00000000-0005-0000-0000-00002E530000}"/>
    <cellStyle name="Note 2 2 3 3 2 2 5" xfId="19911" xr:uid="{00000000-0005-0000-0000-00002F530000}"/>
    <cellStyle name="Note 2 2 3 3 2 3" xfId="16874" xr:uid="{00000000-0005-0000-0000-000030530000}"/>
    <cellStyle name="Note 2 2 3 3 2 3 2" xfId="16875" xr:uid="{00000000-0005-0000-0000-000031530000}"/>
    <cellStyle name="Note 2 2 3 3 2 3 2 2" xfId="16876" xr:uid="{00000000-0005-0000-0000-000032530000}"/>
    <cellStyle name="Note 2 2 3 3 2 3 2 3" xfId="23143" xr:uid="{00000000-0005-0000-0000-000033530000}"/>
    <cellStyle name="Note 2 2 3 3 2 3 3" xfId="16877" xr:uid="{00000000-0005-0000-0000-000034530000}"/>
    <cellStyle name="Note 2 2 3 3 2 3 4" xfId="20560" xr:uid="{00000000-0005-0000-0000-000035530000}"/>
    <cellStyle name="Note 2 2 3 3 2 4" xfId="16878" xr:uid="{00000000-0005-0000-0000-000036530000}"/>
    <cellStyle name="Note 2 2 3 3 2 4 2" xfId="16879" xr:uid="{00000000-0005-0000-0000-000037530000}"/>
    <cellStyle name="Note 2 2 3 3 2 4 3" xfId="21853" xr:uid="{00000000-0005-0000-0000-000038530000}"/>
    <cellStyle name="Note 2 2 3 3 2 5" xfId="16880" xr:uid="{00000000-0005-0000-0000-000039530000}"/>
    <cellStyle name="Note 2 2 3 3 2 6" xfId="19263" xr:uid="{00000000-0005-0000-0000-00003A530000}"/>
    <cellStyle name="Note 2 2 3 3 3" xfId="16881" xr:uid="{00000000-0005-0000-0000-00003B530000}"/>
    <cellStyle name="Note 2 2 3 3 3 2" xfId="16882" xr:uid="{00000000-0005-0000-0000-00003C530000}"/>
    <cellStyle name="Note 2 2 3 3 3 2 2" xfId="16883" xr:uid="{00000000-0005-0000-0000-00003D530000}"/>
    <cellStyle name="Note 2 2 3 3 3 2 2 2" xfId="16884" xr:uid="{00000000-0005-0000-0000-00003E530000}"/>
    <cellStyle name="Note 2 2 3 3 3 2 2 3" xfId="23466" xr:uid="{00000000-0005-0000-0000-00003F530000}"/>
    <cellStyle name="Note 2 2 3 3 3 2 3" xfId="16885" xr:uid="{00000000-0005-0000-0000-000040530000}"/>
    <cellStyle name="Note 2 2 3 3 3 2 4" xfId="20883" xr:uid="{00000000-0005-0000-0000-000041530000}"/>
    <cellStyle name="Note 2 2 3 3 3 3" xfId="16886" xr:uid="{00000000-0005-0000-0000-000042530000}"/>
    <cellStyle name="Note 2 2 3 3 3 3 2" xfId="16887" xr:uid="{00000000-0005-0000-0000-000043530000}"/>
    <cellStyle name="Note 2 2 3 3 3 3 3" xfId="22176" xr:uid="{00000000-0005-0000-0000-000044530000}"/>
    <cellStyle name="Note 2 2 3 3 3 4" xfId="16888" xr:uid="{00000000-0005-0000-0000-000045530000}"/>
    <cellStyle name="Note 2 2 3 3 3 5" xfId="19589" xr:uid="{00000000-0005-0000-0000-000046530000}"/>
    <cellStyle name="Note 2 2 3 3 4" xfId="16889" xr:uid="{00000000-0005-0000-0000-000047530000}"/>
    <cellStyle name="Note 2 2 3 3 4 2" xfId="16890" xr:uid="{00000000-0005-0000-0000-000048530000}"/>
    <cellStyle name="Note 2 2 3 3 4 2 2" xfId="16891" xr:uid="{00000000-0005-0000-0000-000049530000}"/>
    <cellStyle name="Note 2 2 3 3 4 2 3" xfId="22821" xr:uid="{00000000-0005-0000-0000-00004A530000}"/>
    <cellStyle name="Note 2 2 3 3 4 3" xfId="16892" xr:uid="{00000000-0005-0000-0000-00004B530000}"/>
    <cellStyle name="Note 2 2 3 3 4 4" xfId="20238" xr:uid="{00000000-0005-0000-0000-00004C530000}"/>
    <cellStyle name="Note 2 2 3 3 5" xfId="16893" xr:uid="{00000000-0005-0000-0000-00004D530000}"/>
    <cellStyle name="Note 2 2 3 3 5 2" xfId="16894" xr:uid="{00000000-0005-0000-0000-00004E530000}"/>
    <cellStyle name="Note 2 2 3 3 5 3" xfId="21531" xr:uid="{00000000-0005-0000-0000-00004F530000}"/>
    <cellStyle name="Note 2 2 3 3 6" xfId="16895" xr:uid="{00000000-0005-0000-0000-000050530000}"/>
    <cellStyle name="Note 2 2 3 3 7" xfId="18937" xr:uid="{00000000-0005-0000-0000-000051530000}"/>
    <cellStyle name="Note 2 2 3 4" xfId="16896" xr:uid="{00000000-0005-0000-0000-000052530000}"/>
    <cellStyle name="Note 2 2 3 4 2" xfId="16897" xr:uid="{00000000-0005-0000-0000-000053530000}"/>
    <cellStyle name="Note 2 2 3 4 2 2" xfId="16898" xr:uid="{00000000-0005-0000-0000-000054530000}"/>
    <cellStyle name="Note 2 2 3 4 2 2 2" xfId="16899" xr:uid="{00000000-0005-0000-0000-000055530000}"/>
    <cellStyle name="Note 2 2 3 4 2 2 2 2" xfId="16900" xr:uid="{00000000-0005-0000-0000-000056530000}"/>
    <cellStyle name="Note 2 2 3 4 2 2 2 3" xfId="23627" xr:uid="{00000000-0005-0000-0000-000057530000}"/>
    <cellStyle name="Note 2 2 3 4 2 2 3" xfId="16901" xr:uid="{00000000-0005-0000-0000-000058530000}"/>
    <cellStyle name="Note 2 2 3 4 2 2 4" xfId="21044" xr:uid="{00000000-0005-0000-0000-000059530000}"/>
    <cellStyle name="Note 2 2 3 4 2 3" xfId="16902" xr:uid="{00000000-0005-0000-0000-00005A530000}"/>
    <cellStyle name="Note 2 2 3 4 2 3 2" xfId="16903" xr:uid="{00000000-0005-0000-0000-00005B530000}"/>
    <cellStyle name="Note 2 2 3 4 2 3 3" xfId="22337" xr:uid="{00000000-0005-0000-0000-00005C530000}"/>
    <cellStyle name="Note 2 2 3 4 2 4" xfId="16904" xr:uid="{00000000-0005-0000-0000-00005D530000}"/>
    <cellStyle name="Note 2 2 3 4 2 5" xfId="19750" xr:uid="{00000000-0005-0000-0000-00005E530000}"/>
    <cellStyle name="Note 2 2 3 4 3" xfId="16905" xr:uid="{00000000-0005-0000-0000-00005F530000}"/>
    <cellStyle name="Note 2 2 3 4 3 2" xfId="16906" xr:uid="{00000000-0005-0000-0000-000060530000}"/>
    <cellStyle name="Note 2 2 3 4 3 2 2" xfId="16907" xr:uid="{00000000-0005-0000-0000-000061530000}"/>
    <cellStyle name="Note 2 2 3 4 3 2 3" xfId="22982" xr:uid="{00000000-0005-0000-0000-000062530000}"/>
    <cellStyle name="Note 2 2 3 4 3 3" xfId="16908" xr:uid="{00000000-0005-0000-0000-000063530000}"/>
    <cellStyle name="Note 2 2 3 4 3 4" xfId="20399" xr:uid="{00000000-0005-0000-0000-000064530000}"/>
    <cellStyle name="Note 2 2 3 4 4" xfId="16909" xr:uid="{00000000-0005-0000-0000-000065530000}"/>
    <cellStyle name="Note 2 2 3 4 4 2" xfId="16910" xr:uid="{00000000-0005-0000-0000-000066530000}"/>
    <cellStyle name="Note 2 2 3 4 4 3" xfId="21692" xr:uid="{00000000-0005-0000-0000-000067530000}"/>
    <cellStyle name="Note 2 2 3 4 5" xfId="16911" xr:uid="{00000000-0005-0000-0000-000068530000}"/>
    <cellStyle name="Note 2 2 3 4 6" xfId="19102" xr:uid="{00000000-0005-0000-0000-000069530000}"/>
    <cellStyle name="Note 2 2 3 5" xfId="16912" xr:uid="{00000000-0005-0000-0000-00006A530000}"/>
    <cellStyle name="Note 2 2 3 5 2" xfId="16913" xr:uid="{00000000-0005-0000-0000-00006B530000}"/>
    <cellStyle name="Note 2 2 3 5 2 2" xfId="16914" xr:uid="{00000000-0005-0000-0000-00006C530000}"/>
    <cellStyle name="Note 2 2 3 5 2 2 2" xfId="16915" xr:uid="{00000000-0005-0000-0000-00006D530000}"/>
    <cellStyle name="Note 2 2 3 5 2 2 3" xfId="23304" xr:uid="{00000000-0005-0000-0000-00006E530000}"/>
    <cellStyle name="Note 2 2 3 5 2 3" xfId="16916" xr:uid="{00000000-0005-0000-0000-00006F530000}"/>
    <cellStyle name="Note 2 2 3 5 2 4" xfId="20721" xr:uid="{00000000-0005-0000-0000-000070530000}"/>
    <cellStyle name="Note 2 2 3 5 3" xfId="16917" xr:uid="{00000000-0005-0000-0000-000071530000}"/>
    <cellStyle name="Note 2 2 3 5 3 2" xfId="16918" xr:uid="{00000000-0005-0000-0000-000072530000}"/>
    <cellStyle name="Note 2 2 3 5 3 3" xfId="22014" xr:uid="{00000000-0005-0000-0000-000073530000}"/>
    <cellStyle name="Note 2 2 3 5 4" xfId="16919" xr:uid="{00000000-0005-0000-0000-000074530000}"/>
    <cellStyle name="Note 2 2 3 5 5" xfId="19428" xr:uid="{00000000-0005-0000-0000-000075530000}"/>
    <cellStyle name="Note 2 2 3 6" xfId="16920" xr:uid="{00000000-0005-0000-0000-000076530000}"/>
    <cellStyle name="Note 2 2 3 6 2" xfId="16921" xr:uid="{00000000-0005-0000-0000-000077530000}"/>
    <cellStyle name="Note 2 2 3 6 2 2" xfId="16922" xr:uid="{00000000-0005-0000-0000-000078530000}"/>
    <cellStyle name="Note 2 2 3 6 2 3" xfId="22659" xr:uid="{00000000-0005-0000-0000-000079530000}"/>
    <cellStyle name="Note 2 2 3 6 3" xfId="16923" xr:uid="{00000000-0005-0000-0000-00007A530000}"/>
    <cellStyle name="Note 2 2 3 6 4" xfId="20076" xr:uid="{00000000-0005-0000-0000-00007B530000}"/>
    <cellStyle name="Note 2 2 3 7" xfId="16924" xr:uid="{00000000-0005-0000-0000-00007C530000}"/>
    <cellStyle name="Note 2 2 3 7 2" xfId="16925" xr:uid="{00000000-0005-0000-0000-00007D530000}"/>
    <cellStyle name="Note 2 2 3 7 3" xfId="21369" xr:uid="{00000000-0005-0000-0000-00007E530000}"/>
    <cellStyle name="Note 2 2 3 8" xfId="16926" xr:uid="{00000000-0005-0000-0000-00007F530000}"/>
    <cellStyle name="Note 2 2 3 9" xfId="18755" xr:uid="{00000000-0005-0000-0000-000080530000}"/>
    <cellStyle name="Note 2 2 4" xfId="16927" xr:uid="{00000000-0005-0000-0000-000081530000}"/>
    <cellStyle name="Note 2 2 4 2" xfId="16928" xr:uid="{00000000-0005-0000-0000-000082530000}"/>
    <cellStyle name="Note 2 2 4 2 2" xfId="16929" xr:uid="{00000000-0005-0000-0000-000083530000}"/>
    <cellStyle name="Note 2 2 4 2 2 2" xfId="16930" xr:uid="{00000000-0005-0000-0000-000084530000}"/>
    <cellStyle name="Note 2 2 4 2 2 2 2" xfId="16931" xr:uid="{00000000-0005-0000-0000-000085530000}"/>
    <cellStyle name="Note 2 2 4 2 2 2 2 2" xfId="16932" xr:uid="{00000000-0005-0000-0000-000086530000}"/>
    <cellStyle name="Note 2 2 4 2 2 2 2 2 2" xfId="16933" xr:uid="{00000000-0005-0000-0000-000087530000}"/>
    <cellStyle name="Note 2 2 4 2 2 2 2 2 3" xfId="23828" xr:uid="{00000000-0005-0000-0000-000088530000}"/>
    <cellStyle name="Note 2 2 4 2 2 2 2 3" xfId="16934" xr:uid="{00000000-0005-0000-0000-000089530000}"/>
    <cellStyle name="Note 2 2 4 2 2 2 2 4" xfId="21245" xr:uid="{00000000-0005-0000-0000-00008A530000}"/>
    <cellStyle name="Note 2 2 4 2 2 2 3" xfId="16935" xr:uid="{00000000-0005-0000-0000-00008B530000}"/>
    <cellStyle name="Note 2 2 4 2 2 2 3 2" xfId="16936" xr:uid="{00000000-0005-0000-0000-00008C530000}"/>
    <cellStyle name="Note 2 2 4 2 2 2 3 3" xfId="22538" xr:uid="{00000000-0005-0000-0000-00008D530000}"/>
    <cellStyle name="Note 2 2 4 2 2 2 4" xfId="16937" xr:uid="{00000000-0005-0000-0000-00008E530000}"/>
    <cellStyle name="Note 2 2 4 2 2 2 5" xfId="19951" xr:uid="{00000000-0005-0000-0000-00008F530000}"/>
    <cellStyle name="Note 2 2 4 2 2 3" xfId="16938" xr:uid="{00000000-0005-0000-0000-000090530000}"/>
    <cellStyle name="Note 2 2 4 2 2 3 2" xfId="16939" xr:uid="{00000000-0005-0000-0000-000091530000}"/>
    <cellStyle name="Note 2 2 4 2 2 3 2 2" xfId="16940" xr:uid="{00000000-0005-0000-0000-000092530000}"/>
    <cellStyle name="Note 2 2 4 2 2 3 2 3" xfId="23183" xr:uid="{00000000-0005-0000-0000-000093530000}"/>
    <cellStyle name="Note 2 2 4 2 2 3 3" xfId="16941" xr:uid="{00000000-0005-0000-0000-000094530000}"/>
    <cellStyle name="Note 2 2 4 2 2 3 4" xfId="20600" xr:uid="{00000000-0005-0000-0000-000095530000}"/>
    <cellStyle name="Note 2 2 4 2 2 4" xfId="16942" xr:uid="{00000000-0005-0000-0000-000096530000}"/>
    <cellStyle name="Note 2 2 4 2 2 4 2" xfId="16943" xr:uid="{00000000-0005-0000-0000-000097530000}"/>
    <cellStyle name="Note 2 2 4 2 2 4 3" xfId="21893" xr:uid="{00000000-0005-0000-0000-000098530000}"/>
    <cellStyle name="Note 2 2 4 2 2 5" xfId="16944" xr:uid="{00000000-0005-0000-0000-000099530000}"/>
    <cellStyle name="Note 2 2 4 2 2 6" xfId="19303" xr:uid="{00000000-0005-0000-0000-00009A530000}"/>
    <cellStyle name="Note 2 2 4 2 3" xfId="16945" xr:uid="{00000000-0005-0000-0000-00009B530000}"/>
    <cellStyle name="Note 2 2 4 2 3 2" xfId="16946" xr:uid="{00000000-0005-0000-0000-00009C530000}"/>
    <cellStyle name="Note 2 2 4 2 3 2 2" xfId="16947" xr:uid="{00000000-0005-0000-0000-00009D530000}"/>
    <cellStyle name="Note 2 2 4 2 3 2 2 2" xfId="16948" xr:uid="{00000000-0005-0000-0000-00009E530000}"/>
    <cellStyle name="Note 2 2 4 2 3 2 2 3" xfId="23506" xr:uid="{00000000-0005-0000-0000-00009F530000}"/>
    <cellStyle name="Note 2 2 4 2 3 2 3" xfId="16949" xr:uid="{00000000-0005-0000-0000-0000A0530000}"/>
    <cellStyle name="Note 2 2 4 2 3 2 4" xfId="20923" xr:uid="{00000000-0005-0000-0000-0000A1530000}"/>
    <cellStyle name="Note 2 2 4 2 3 3" xfId="16950" xr:uid="{00000000-0005-0000-0000-0000A2530000}"/>
    <cellStyle name="Note 2 2 4 2 3 3 2" xfId="16951" xr:uid="{00000000-0005-0000-0000-0000A3530000}"/>
    <cellStyle name="Note 2 2 4 2 3 3 3" xfId="22216" xr:uid="{00000000-0005-0000-0000-0000A4530000}"/>
    <cellStyle name="Note 2 2 4 2 3 4" xfId="16952" xr:uid="{00000000-0005-0000-0000-0000A5530000}"/>
    <cellStyle name="Note 2 2 4 2 3 5" xfId="19629" xr:uid="{00000000-0005-0000-0000-0000A6530000}"/>
    <cellStyle name="Note 2 2 4 2 4" xfId="16953" xr:uid="{00000000-0005-0000-0000-0000A7530000}"/>
    <cellStyle name="Note 2 2 4 2 4 2" xfId="16954" xr:uid="{00000000-0005-0000-0000-0000A8530000}"/>
    <cellStyle name="Note 2 2 4 2 4 2 2" xfId="16955" xr:uid="{00000000-0005-0000-0000-0000A9530000}"/>
    <cellStyle name="Note 2 2 4 2 4 2 3" xfId="22861" xr:uid="{00000000-0005-0000-0000-0000AA530000}"/>
    <cellStyle name="Note 2 2 4 2 4 3" xfId="16956" xr:uid="{00000000-0005-0000-0000-0000AB530000}"/>
    <cellStyle name="Note 2 2 4 2 4 4" xfId="20278" xr:uid="{00000000-0005-0000-0000-0000AC530000}"/>
    <cellStyle name="Note 2 2 4 2 5" xfId="16957" xr:uid="{00000000-0005-0000-0000-0000AD530000}"/>
    <cellStyle name="Note 2 2 4 2 5 2" xfId="16958" xr:uid="{00000000-0005-0000-0000-0000AE530000}"/>
    <cellStyle name="Note 2 2 4 2 5 3" xfId="21571" xr:uid="{00000000-0005-0000-0000-0000AF530000}"/>
    <cellStyle name="Note 2 2 4 2 6" xfId="16959" xr:uid="{00000000-0005-0000-0000-0000B0530000}"/>
    <cellStyle name="Note 2 2 4 2 7" xfId="18977" xr:uid="{00000000-0005-0000-0000-0000B1530000}"/>
    <cellStyle name="Note 2 2 4 3" xfId="16960" xr:uid="{00000000-0005-0000-0000-0000B2530000}"/>
    <cellStyle name="Note 2 2 4 3 2" xfId="16961" xr:uid="{00000000-0005-0000-0000-0000B3530000}"/>
    <cellStyle name="Note 2 2 4 3 2 2" xfId="16962" xr:uid="{00000000-0005-0000-0000-0000B4530000}"/>
    <cellStyle name="Note 2 2 4 3 2 2 2" xfId="16963" xr:uid="{00000000-0005-0000-0000-0000B5530000}"/>
    <cellStyle name="Note 2 2 4 3 2 2 2 2" xfId="16964" xr:uid="{00000000-0005-0000-0000-0000B6530000}"/>
    <cellStyle name="Note 2 2 4 3 2 2 2 3" xfId="23667" xr:uid="{00000000-0005-0000-0000-0000B7530000}"/>
    <cellStyle name="Note 2 2 4 3 2 2 3" xfId="16965" xr:uid="{00000000-0005-0000-0000-0000B8530000}"/>
    <cellStyle name="Note 2 2 4 3 2 2 4" xfId="21084" xr:uid="{00000000-0005-0000-0000-0000B9530000}"/>
    <cellStyle name="Note 2 2 4 3 2 3" xfId="16966" xr:uid="{00000000-0005-0000-0000-0000BA530000}"/>
    <cellStyle name="Note 2 2 4 3 2 3 2" xfId="16967" xr:uid="{00000000-0005-0000-0000-0000BB530000}"/>
    <cellStyle name="Note 2 2 4 3 2 3 3" xfId="22377" xr:uid="{00000000-0005-0000-0000-0000BC530000}"/>
    <cellStyle name="Note 2 2 4 3 2 4" xfId="16968" xr:uid="{00000000-0005-0000-0000-0000BD530000}"/>
    <cellStyle name="Note 2 2 4 3 2 5" xfId="19790" xr:uid="{00000000-0005-0000-0000-0000BE530000}"/>
    <cellStyle name="Note 2 2 4 3 3" xfId="16969" xr:uid="{00000000-0005-0000-0000-0000BF530000}"/>
    <cellStyle name="Note 2 2 4 3 3 2" xfId="16970" xr:uid="{00000000-0005-0000-0000-0000C0530000}"/>
    <cellStyle name="Note 2 2 4 3 3 2 2" xfId="16971" xr:uid="{00000000-0005-0000-0000-0000C1530000}"/>
    <cellStyle name="Note 2 2 4 3 3 2 3" xfId="23022" xr:uid="{00000000-0005-0000-0000-0000C2530000}"/>
    <cellStyle name="Note 2 2 4 3 3 3" xfId="16972" xr:uid="{00000000-0005-0000-0000-0000C3530000}"/>
    <cellStyle name="Note 2 2 4 3 3 4" xfId="20439" xr:uid="{00000000-0005-0000-0000-0000C4530000}"/>
    <cellStyle name="Note 2 2 4 3 4" xfId="16973" xr:uid="{00000000-0005-0000-0000-0000C5530000}"/>
    <cellStyle name="Note 2 2 4 3 4 2" xfId="16974" xr:uid="{00000000-0005-0000-0000-0000C6530000}"/>
    <cellStyle name="Note 2 2 4 3 4 3" xfId="21732" xr:uid="{00000000-0005-0000-0000-0000C7530000}"/>
    <cellStyle name="Note 2 2 4 3 5" xfId="16975" xr:uid="{00000000-0005-0000-0000-0000C8530000}"/>
    <cellStyle name="Note 2 2 4 3 6" xfId="19142" xr:uid="{00000000-0005-0000-0000-0000C9530000}"/>
    <cellStyle name="Note 2 2 4 4" xfId="16976" xr:uid="{00000000-0005-0000-0000-0000CA530000}"/>
    <cellStyle name="Note 2 2 4 4 2" xfId="16977" xr:uid="{00000000-0005-0000-0000-0000CB530000}"/>
    <cellStyle name="Note 2 2 4 4 2 2" xfId="16978" xr:uid="{00000000-0005-0000-0000-0000CC530000}"/>
    <cellStyle name="Note 2 2 4 4 2 2 2" xfId="16979" xr:uid="{00000000-0005-0000-0000-0000CD530000}"/>
    <cellStyle name="Note 2 2 4 4 2 2 3" xfId="23345" xr:uid="{00000000-0005-0000-0000-0000CE530000}"/>
    <cellStyle name="Note 2 2 4 4 2 3" xfId="16980" xr:uid="{00000000-0005-0000-0000-0000CF530000}"/>
    <cellStyle name="Note 2 2 4 4 2 4" xfId="20762" xr:uid="{00000000-0005-0000-0000-0000D0530000}"/>
    <cellStyle name="Note 2 2 4 4 3" xfId="16981" xr:uid="{00000000-0005-0000-0000-0000D1530000}"/>
    <cellStyle name="Note 2 2 4 4 3 2" xfId="16982" xr:uid="{00000000-0005-0000-0000-0000D2530000}"/>
    <cellStyle name="Note 2 2 4 4 3 3" xfId="22055" xr:uid="{00000000-0005-0000-0000-0000D3530000}"/>
    <cellStyle name="Note 2 2 4 4 4" xfId="16983" xr:uid="{00000000-0005-0000-0000-0000D4530000}"/>
    <cellStyle name="Note 2 2 4 4 5" xfId="19468" xr:uid="{00000000-0005-0000-0000-0000D5530000}"/>
    <cellStyle name="Note 2 2 4 5" xfId="16984" xr:uid="{00000000-0005-0000-0000-0000D6530000}"/>
    <cellStyle name="Note 2 2 4 5 2" xfId="16985" xr:uid="{00000000-0005-0000-0000-0000D7530000}"/>
    <cellStyle name="Note 2 2 4 5 2 2" xfId="16986" xr:uid="{00000000-0005-0000-0000-0000D8530000}"/>
    <cellStyle name="Note 2 2 4 5 2 3" xfId="22700" xr:uid="{00000000-0005-0000-0000-0000D9530000}"/>
    <cellStyle name="Note 2 2 4 5 3" xfId="16987" xr:uid="{00000000-0005-0000-0000-0000DA530000}"/>
    <cellStyle name="Note 2 2 4 5 4" xfId="20117" xr:uid="{00000000-0005-0000-0000-0000DB530000}"/>
    <cellStyle name="Note 2 2 4 6" xfId="16988" xr:uid="{00000000-0005-0000-0000-0000DC530000}"/>
    <cellStyle name="Note 2 2 4 6 2" xfId="16989" xr:uid="{00000000-0005-0000-0000-0000DD530000}"/>
    <cellStyle name="Note 2 2 4 6 3" xfId="21410" xr:uid="{00000000-0005-0000-0000-0000DE530000}"/>
    <cellStyle name="Note 2 2 4 7" xfId="16990" xr:uid="{00000000-0005-0000-0000-0000DF530000}"/>
    <cellStyle name="Note 2 2 4 8" xfId="18810" xr:uid="{00000000-0005-0000-0000-0000E0530000}"/>
    <cellStyle name="Note 2 2 5" xfId="16991" xr:uid="{00000000-0005-0000-0000-0000E1530000}"/>
    <cellStyle name="Note 2 2 5 2" xfId="16992" xr:uid="{00000000-0005-0000-0000-0000E2530000}"/>
    <cellStyle name="Note 2 2 5 2 2" xfId="16993" xr:uid="{00000000-0005-0000-0000-0000E3530000}"/>
    <cellStyle name="Note 2 2 5 2 2 2" xfId="16994" xr:uid="{00000000-0005-0000-0000-0000E4530000}"/>
    <cellStyle name="Note 2 2 5 2 2 2 2" xfId="16995" xr:uid="{00000000-0005-0000-0000-0000E5530000}"/>
    <cellStyle name="Note 2 2 5 2 2 2 2 2" xfId="16996" xr:uid="{00000000-0005-0000-0000-0000E6530000}"/>
    <cellStyle name="Note 2 2 5 2 2 2 2 3" xfId="23748" xr:uid="{00000000-0005-0000-0000-0000E7530000}"/>
    <cellStyle name="Note 2 2 5 2 2 2 3" xfId="16997" xr:uid="{00000000-0005-0000-0000-0000E8530000}"/>
    <cellStyle name="Note 2 2 5 2 2 2 4" xfId="21165" xr:uid="{00000000-0005-0000-0000-0000E9530000}"/>
    <cellStyle name="Note 2 2 5 2 2 3" xfId="16998" xr:uid="{00000000-0005-0000-0000-0000EA530000}"/>
    <cellStyle name="Note 2 2 5 2 2 3 2" xfId="16999" xr:uid="{00000000-0005-0000-0000-0000EB530000}"/>
    <cellStyle name="Note 2 2 5 2 2 3 3" xfId="22458" xr:uid="{00000000-0005-0000-0000-0000EC530000}"/>
    <cellStyle name="Note 2 2 5 2 2 4" xfId="17000" xr:uid="{00000000-0005-0000-0000-0000ED530000}"/>
    <cellStyle name="Note 2 2 5 2 2 5" xfId="19871" xr:uid="{00000000-0005-0000-0000-0000EE530000}"/>
    <cellStyle name="Note 2 2 5 2 3" xfId="17001" xr:uid="{00000000-0005-0000-0000-0000EF530000}"/>
    <cellStyle name="Note 2 2 5 2 3 2" xfId="17002" xr:uid="{00000000-0005-0000-0000-0000F0530000}"/>
    <cellStyle name="Note 2 2 5 2 3 2 2" xfId="17003" xr:uid="{00000000-0005-0000-0000-0000F1530000}"/>
    <cellStyle name="Note 2 2 5 2 3 2 3" xfId="23103" xr:uid="{00000000-0005-0000-0000-0000F2530000}"/>
    <cellStyle name="Note 2 2 5 2 3 3" xfId="17004" xr:uid="{00000000-0005-0000-0000-0000F3530000}"/>
    <cellStyle name="Note 2 2 5 2 3 4" xfId="20520" xr:uid="{00000000-0005-0000-0000-0000F4530000}"/>
    <cellStyle name="Note 2 2 5 2 4" xfId="17005" xr:uid="{00000000-0005-0000-0000-0000F5530000}"/>
    <cellStyle name="Note 2 2 5 2 4 2" xfId="17006" xr:uid="{00000000-0005-0000-0000-0000F6530000}"/>
    <cellStyle name="Note 2 2 5 2 4 3" xfId="21813" xr:uid="{00000000-0005-0000-0000-0000F7530000}"/>
    <cellStyle name="Note 2 2 5 2 5" xfId="17007" xr:uid="{00000000-0005-0000-0000-0000F8530000}"/>
    <cellStyle name="Note 2 2 5 2 6" xfId="19223" xr:uid="{00000000-0005-0000-0000-0000F9530000}"/>
    <cellStyle name="Note 2 2 5 3" xfId="17008" xr:uid="{00000000-0005-0000-0000-0000FA530000}"/>
    <cellStyle name="Note 2 2 5 3 2" xfId="17009" xr:uid="{00000000-0005-0000-0000-0000FB530000}"/>
    <cellStyle name="Note 2 2 5 3 2 2" xfId="17010" xr:uid="{00000000-0005-0000-0000-0000FC530000}"/>
    <cellStyle name="Note 2 2 5 3 2 2 2" xfId="17011" xr:uid="{00000000-0005-0000-0000-0000FD530000}"/>
    <cellStyle name="Note 2 2 5 3 2 2 3" xfId="23426" xr:uid="{00000000-0005-0000-0000-0000FE530000}"/>
    <cellStyle name="Note 2 2 5 3 2 3" xfId="17012" xr:uid="{00000000-0005-0000-0000-0000FF530000}"/>
    <cellStyle name="Note 2 2 5 3 2 4" xfId="20843" xr:uid="{00000000-0005-0000-0000-000000540000}"/>
    <cellStyle name="Note 2 2 5 3 3" xfId="17013" xr:uid="{00000000-0005-0000-0000-000001540000}"/>
    <cellStyle name="Note 2 2 5 3 3 2" xfId="17014" xr:uid="{00000000-0005-0000-0000-000002540000}"/>
    <cellStyle name="Note 2 2 5 3 3 3" xfId="22136" xr:uid="{00000000-0005-0000-0000-000003540000}"/>
    <cellStyle name="Note 2 2 5 3 4" xfId="17015" xr:uid="{00000000-0005-0000-0000-000004540000}"/>
    <cellStyle name="Note 2 2 5 3 5" xfId="19549" xr:uid="{00000000-0005-0000-0000-000005540000}"/>
    <cellStyle name="Note 2 2 5 4" xfId="17016" xr:uid="{00000000-0005-0000-0000-000006540000}"/>
    <cellStyle name="Note 2 2 5 4 2" xfId="17017" xr:uid="{00000000-0005-0000-0000-000007540000}"/>
    <cellStyle name="Note 2 2 5 4 2 2" xfId="17018" xr:uid="{00000000-0005-0000-0000-000008540000}"/>
    <cellStyle name="Note 2 2 5 4 2 3" xfId="22781" xr:uid="{00000000-0005-0000-0000-000009540000}"/>
    <cellStyle name="Note 2 2 5 4 3" xfId="17019" xr:uid="{00000000-0005-0000-0000-00000A540000}"/>
    <cellStyle name="Note 2 2 5 4 4" xfId="20198" xr:uid="{00000000-0005-0000-0000-00000B540000}"/>
    <cellStyle name="Note 2 2 5 5" xfId="17020" xr:uid="{00000000-0005-0000-0000-00000C540000}"/>
    <cellStyle name="Note 2 2 5 5 2" xfId="17021" xr:uid="{00000000-0005-0000-0000-00000D540000}"/>
    <cellStyle name="Note 2 2 5 5 3" xfId="21491" xr:uid="{00000000-0005-0000-0000-00000E540000}"/>
    <cellStyle name="Note 2 2 5 6" xfId="17022" xr:uid="{00000000-0005-0000-0000-00000F540000}"/>
    <cellStyle name="Note 2 2 5 7" xfId="18897" xr:uid="{00000000-0005-0000-0000-000010540000}"/>
    <cellStyle name="Note 2 2 6" xfId="17023" xr:uid="{00000000-0005-0000-0000-000011540000}"/>
    <cellStyle name="Note 2 2 6 2" xfId="17024" xr:uid="{00000000-0005-0000-0000-000012540000}"/>
    <cellStyle name="Note 2 2 6 2 2" xfId="17025" xr:uid="{00000000-0005-0000-0000-000013540000}"/>
    <cellStyle name="Note 2 2 6 2 2 2" xfId="17026" xr:uid="{00000000-0005-0000-0000-000014540000}"/>
    <cellStyle name="Note 2 2 6 2 2 2 2" xfId="17027" xr:uid="{00000000-0005-0000-0000-000015540000}"/>
    <cellStyle name="Note 2 2 6 2 2 2 3" xfId="23587" xr:uid="{00000000-0005-0000-0000-000016540000}"/>
    <cellStyle name="Note 2 2 6 2 2 3" xfId="17028" xr:uid="{00000000-0005-0000-0000-000017540000}"/>
    <cellStyle name="Note 2 2 6 2 2 4" xfId="21004" xr:uid="{00000000-0005-0000-0000-000018540000}"/>
    <cellStyle name="Note 2 2 6 2 3" xfId="17029" xr:uid="{00000000-0005-0000-0000-000019540000}"/>
    <cellStyle name="Note 2 2 6 2 3 2" xfId="17030" xr:uid="{00000000-0005-0000-0000-00001A540000}"/>
    <cellStyle name="Note 2 2 6 2 3 3" xfId="22297" xr:uid="{00000000-0005-0000-0000-00001B540000}"/>
    <cellStyle name="Note 2 2 6 2 4" xfId="17031" xr:uid="{00000000-0005-0000-0000-00001C540000}"/>
    <cellStyle name="Note 2 2 6 2 5" xfId="19710" xr:uid="{00000000-0005-0000-0000-00001D540000}"/>
    <cellStyle name="Note 2 2 6 3" xfId="17032" xr:uid="{00000000-0005-0000-0000-00001E540000}"/>
    <cellStyle name="Note 2 2 6 3 2" xfId="17033" xr:uid="{00000000-0005-0000-0000-00001F540000}"/>
    <cellStyle name="Note 2 2 6 3 2 2" xfId="17034" xr:uid="{00000000-0005-0000-0000-000020540000}"/>
    <cellStyle name="Note 2 2 6 3 2 3" xfId="22942" xr:uid="{00000000-0005-0000-0000-000021540000}"/>
    <cellStyle name="Note 2 2 6 3 3" xfId="17035" xr:uid="{00000000-0005-0000-0000-000022540000}"/>
    <cellStyle name="Note 2 2 6 3 4" xfId="20359" xr:uid="{00000000-0005-0000-0000-000023540000}"/>
    <cellStyle name="Note 2 2 6 4" xfId="17036" xr:uid="{00000000-0005-0000-0000-000024540000}"/>
    <cellStyle name="Note 2 2 6 4 2" xfId="17037" xr:uid="{00000000-0005-0000-0000-000025540000}"/>
    <cellStyle name="Note 2 2 6 4 3" xfId="21652" xr:uid="{00000000-0005-0000-0000-000026540000}"/>
    <cellStyle name="Note 2 2 6 5" xfId="17038" xr:uid="{00000000-0005-0000-0000-000027540000}"/>
    <cellStyle name="Note 2 2 6 6" xfId="19062" xr:uid="{00000000-0005-0000-0000-000028540000}"/>
    <cellStyle name="Note 2 2 7" xfId="17039" xr:uid="{00000000-0005-0000-0000-000029540000}"/>
    <cellStyle name="Note 2 2 7 2" xfId="17040" xr:uid="{00000000-0005-0000-0000-00002A540000}"/>
    <cellStyle name="Note 2 2 7 2 2" xfId="17041" xr:uid="{00000000-0005-0000-0000-00002B540000}"/>
    <cellStyle name="Note 2 2 7 2 2 2" xfId="17042" xr:uid="{00000000-0005-0000-0000-00002C540000}"/>
    <cellStyle name="Note 2 2 7 2 2 3" xfId="23264" xr:uid="{00000000-0005-0000-0000-00002D540000}"/>
    <cellStyle name="Note 2 2 7 2 3" xfId="17043" xr:uid="{00000000-0005-0000-0000-00002E540000}"/>
    <cellStyle name="Note 2 2 7 2 4" xfId="20681" xr:uid="{00000000-0005-0000-0000-00002F540000}"/>
    <cellStyle name="Note 2 2 7 3" xfId="17044" xr:uid="{00000000-0005-0000-0000-000030540000}"/>
    <cellStyle name="Note 2 2 7 3 2" xfId="17045" xr:uid="{00000000-0005-0000-0000-000031540000}"/>
    <cellStyle name="Note 2 2 7 3 3" xfId="21974" xr:uid="{00000000-0005-0000-0000-000032540000}"/>
    <cellStyle name="Note 2 2 7 4" xfId="17046" xr:uid="{00000000-0005-0000-0000-000033540000}"/>
    <cellStyle name="Note 2 2 7 5" xfId="19388" xr:uid="{00000000-0005-0000-0000-000034540000}"/>
    <cellStyle name="Note 2 2 8" xfId="17047" xr:uid="{00000000-0005-0000-0000-000035540000}"/>
    <cellStyle name="Note 2 2 8 2" xfId="17048" xr:uid="{00000000-0005-0000-0000-000036540000}"/>
    <cellStyle name="Note 2 2 8 2 2" xfId="17049" xr:uid="{00000000-0005-0000-0000-000037540000}"/>
    <cellStyle name="Note 2 2 8 2 3" xfId="22619" xr:uid="{00000000-0005-0000-0000-000038540000}"/>
    <cellStyle name="Note 2 2 8 3" xfId="17050" xr:uid="{00000000-0005-0000-0000-000039540000}"/>
    <cellStyle name="Note 2 2 8 4" xfId="20036" xr:uid="{00000000-0005-0000-0000-00003A540000}"/>
    <cellStyle name="Note 2 2 9" xfId="17051" xr:uid="{00000000-0005-0000-0000-00003B540000}"/>
    <cellStyle name="Note 2 2 9 2" xfId="17052" xr:uid="{00000000-0005-0000-0000-00003C540000}"/>
    <cellStyle name="Note 2 2 9 3" xfId="21329" xr:uid="{00000000-0005-0000-0000-00003D540000}"/>
    <cellStyle name="Note 2 3" xfId="17053" xr:uid="{00000000-0005-0000-0000-00003E540000}"/>
    <cellStyle name="Note 2 3 10" xfId="18721" xr:uid="{00000000-0005-0000-0000-00003F540000}"/>
    <cellStyle name="Note 2 3 2" xfId="17054" xr:uid="{00000000-0005-0000-0000-000040540000}"/>
    <cellStyle name="Note 2 3 2 2" xfId="17055" xr:uid="{00000000-0005-0000-0000-000041540000}"/>
    <cellStyle name="Note 2 3 2 2 2" xfId="17056" xr:uid="{00000000-0005-0000-0000-000042540000}"/>
    <cellStyle name="Note 2 3 2 2 2 2" xfId="17057" xr:uid="{00000000-0005-0000-0000-000043540000}"/>
    <cellStyle name="Note 2 3 2 2 2 2 2" xfId="17058" xr:uid="{00000000-0005-0000-0000-000044540000}"/>
    <cellStyle name="Note 2 3 2 2 2 2 2 2" xfId="17059" xr:uid="{00000000-0005-0000-0000-000045540000}"/>
    <cellStyle name="Note 2 3 2 2 2 2 2 2 2" xfId="17060" xr:uid="{00000000-0005-0000-0000-000046540000}"/>
    <cellStyle name="Note 2 3 2 2 2 2 2 2 2 2" xfId="17061" xr:uid="{00000000-0005-0000-0000-000047540000}"/>
    <cellStyle name="Note 2 3 2 2 2 2 2 2 2 3" xfId="23878" xr:uid="{00000000-0005-0000-0000-000048540000}"/>
    <cellStyle name="Note 2 3 2 2 2 2 2 2 3" xfId="17062" xr:uid="{00000000-0005-0000-0000-000049540000}"/>
    <cellStyle name="Note 2 3 2 2 2 2 2 2 4" xfId="21295" xr:uid="{00000000-0005-0000-0000-00004A540000}"/>
    <cellStyle name="Note 2 3 2 2 2 2 2 3" xfId="17063" xr:uid="{00000000-0005-0000-0000-00004B540000}"/>
    <cellStyle name="Note 2 3 2 2 2 2 2 3 2" xfId="17064" xr:uid="{00000000-0005-0000-0000-00004C540000}"/>
    <cellStyle name="Note 2 3 2 2 2 2 2 3 3" xfId="22588" xr:uid="{00000000-0005-0000-0000-00004D540000}"/>
    <cellStyle name="Note 2 3 2 2 2 2 2 4" xfId="17065" xr:uid="{00000000-0005-0000-0000-00004E540000}"/>
    <cellStyle name="Note 2 3 2 2 2 2 2 5" xfId="20001" xr:uid="{00000000-0005-0000-0000-00004F540000}"/>
    <cellStyle name="Note 2 3 2 2 2 2 3" xfId="17066" xr:uid="{00000000-0005-0000-0000-000050540000}"/>
    <cellStyle name="Note 2 3 2 2 2 2 3 2" xfId="17067" xr:uid="{00000000-0005-0000-0000-000051540000}"/>
    <cellStyle name="Note 2 3 2 2 2 2 3 2 2" xfId="17068" xr:uid="{00000000-0005-0000-0000-000052540000}"/>
    <cellStyle name="Note 2 3 2 2 2 2 3 2 3" xfId="23233" xr:uid="{00000000-0005-0000-0000-000053540000}"/>
    <cellStyle name="Note 2 3 2 2 2 2 3 3" xfId="17069" xr:uid="{00000000-0005-0000-0000-000054540000}"/>
    <cellStyle name="Note 2 3 2 2 2 2 3 4" xfId="20650" xr:uid="{00000000-0005-0000-0000-000055540000}"/>
    <cellStyle name="Note 2 3 2 2 2 2 4" xfId="17070" xr:uid="{00000000-0005-0000-0000-000056540000}"/>
    <cellStyle name="Note 2 3 2 2 2 2 4 2" xfId="17071" xr:uid="{00000000-0005-0000-0000-000057540000}"/>
    <cellStyle name="Note 2 3 2 2 2 2 4 3" xfId="21943" xr:uid="{00000000-0005-0000-0000-000058540000}"/>
    <cellStyle name="Note 2 3 2 2 2 2 5" xfId="17072" xr:uid="{00000000-0005-0000-0000-000059540000}"/>
    <cellStyle name="Note 2 3 2 2 2 2 6" xfId="19353" xr:uid="{00000000-0005-0000-0000-00005A540000}"/>
    <cellStyle name="Note 2 3 2 2 2 3" xfId="17073" xr:uid="{00000000-0005-0000-0000-00005B540000}"/>
    <cellStyle name="Note 2 3 2 2 2 3 2" xfId="17074" xr:uid="{00000000-0005-0000-0000-00005C540000}"/>
    <cellStyle name="Note 2 3 2 2 2 3 2 2" xfId="17075" xr:uid="{00000000-0005-0000-0000-00005D540000}"/>
    <cellStyle name="Note 2 3 2 2 2 3 2 2 2" xfId="17076" xr:uid="{00000000-0005-0000-0000-00005E540000}"/>
    <cellStyle name="Note 2 3 2 2 2 3 2 2 3" xfId="23556" xr:uid="{00000000-0005-0000-0000-00005F540000}"/>
    <cellStyle name="Note 2 3 2 2 2 3 2 3" xfId="17077" xr:uid="{00000000-0005-0000-0000-000060540000}"/>
    <cellStyle name="Note 2 3 2 2 2 3 2 4" xfId="20973" xr:uid="{00000000-0005-0000-0000-000061540000}"/>
    <cellStyle name="Note 2 3 2 2 2 3 3" xfId="17078" xr:uid="{00000000-0005-0000-0000-000062540000}"/>
    <cellStyle name="Note 2 3 2 2 2 3 3 2" xfId="17079" xr:uid="{00000000-0005-0000-0000-000063540000}"/>
    <cellStyle name="Note 2 3 2 2 2 3 3 3" xfId="22266" xr:uid="{00000000-0005-0000-0000-000064540000}"/>
    <cellStyle name="Note 2 3 2 2 2 3 4" xfId="17080" xr:uid="{00000000-0005-0000-0000-000065540000}"/>
    <cellStyle name="Note 2 3 2 2 2 3 5" xfId="19679" xr:uid="{00000000-0005-0000-0000-000066540000}"/>
    <cellStyle name="Note 2 3 2 2 2 4" xfId="17081" xr:uid="{00000000-0005-0000-0000-000067540000}"/>
    <cellStyle name="Note 2 3 2 2 2 4 2" xfId="17082" xr:uid="{00000000-0005-0000-0000-000068540000}"/>
    <cellStyle name="Note 2 3 2 2 2 4 2 2" xfId="17083" xr:uid="{00000000-0005-0000-0000-000069540000}"/>
    <cellStyle name="Note 2 3 2 2 2 4 2 3" xfId="22911" xr:uid="{00000000-0005-0000-0000-00006A540000}"/>
    <cellStyle name="Note 2 3 2 2 2 4 3" xfId="17084" xr:uid="{00000000-0005-0000-0000-00006B540000}"/>
    <cellStyle name="Note 2 3 2 2 2 4 4" xfId="20328" xr:uid="{00000000-0005-0000-0000-00006C540000}"/>
    <cellStyle name="Note 2 3 2 2 2 5" xfId="17085" xr:uid="{00000000-0005-0000-0000-00006D540000}"/>
    <cellStyle name="Note 2 3 2 2 2 5 2" xfId="17086" xr:uid="{00000000-0005-0000-0000-00006E540000}"/>
    <cellStyle name="Note 2 3 2 2 2 5 3" xfId="21621" xr:uid="{00000000-0005-0000-0000-00006F540000}"/>
    <cellStyle name="Note 2 3 2 2 2 6" xfId="17087" xr:uid="{00000000-0005-0000-0000-000070540000}"/>
    <cellStyle name="Note 2 3 2 2 2 7" xfId="19027" xr:uid="{00000000-0005-0000-0000-000071540000}"/>
    <cellStyle name="Note 2 3 2 2 3" xfId="17088" xr:uid="{00000000-0005-0000-0000-000072540000}"/>
    <cellStyle name="Note 2 3 2 2 3 2" xfId="17089" xr:uid="{00000000-0005-0000-0000-000073540000}"/>
    <cellStyle name="Note 2 3 2 2 3 2 2" xfId="17090" xr:uid="{00000000-0005-0000-0000-000074540000}"/>
    <cellStyle name="Note 2 3 2 2 3 2 2 2" xfId="17091" xr:uid="{00000000-0005-0000-0000-000075540000}"/>
    <cellStyle name="Note 2 3 2 2 3 2 2 2 2" xfId="17092" xr:uid="{00000000-0005-0000-0000-000076540000}"/>
    <cellStyle name="Note 2 3 2 2 3 2 2 2 3" xfId="23717" xr:uid="{00000000-0005-0000-0000-000077540000}"/>
    <cellStyle name="Note 2 3 2 2 3 2 2 3" xfId="17093" xr:uid="{00000000-0005-0000-0000-000078540000}"/>
    <cellStyle name="Note 2 3 2 2 3 2 2 4" xfId="21134" xr:uid="{00000000-0005-0000-0000-000079540000}"/>
    <cellStyle name="Note 2 3 2 2 3 2 3" xfId="17094" xr:uid="{00000000-0005-0000-0000-00007A540000}"/>
    <cellStyle name="Note 2 3 2 2 3 2 3 2" xfId="17095" xr:uid="{00000000-0005-0000-0000-00007B540000}"/>
    <cellStyle name="Note 2 3 2 2 3 2 3 3" xfId="22427" xr:uid="{00000000-0005-0000-0000-00007C540000}"/>
    <cellStyle name="Note 2 3 2 2 3 2 4" xfId="17096" xr:uid="{00000000-0005-0000-0000-00007D540000}"/>
    <cellStyle name="Note 2 3 2 2 3 2 5" xfId="19840" xr:uid="{00000000-0005-0000-0000-00007E540000}"/>
    <cellStyle name="Note 2 3 2 2 3 3" xfId="17097" xr:uid="{00000000-0005-0000-0000-00007F540000}"/>
    <cellStyle name="Note 2 3 2 2 3 3 2" xfId="17098" xr:uid="{00000000-0005-0000-0000-000080540000}"/>
    <cellStyle name="Note 2 3 2 2 3 3 2 2" xfId="17099" xr:uid="{00000000-0005-0000-0000-000081540000}"/>
    <cellStyle name="Note 2 3 2 2 3 3 2 3" xfId="23072" xr:uid="{00000000-0005-0000-0000-000082540000}"/>
    <cellStyle name="Note 2 3 2 2 3 3 3" xfId="17100" xr:uid="{00000000-0005-0000-0000-000083540000}"/>
    <cellStyle name="Note 2 3 2 2 3 3 4" xfId="20489" xr:uid="{00000000-0005-0000-0000-000084540000}"/>
    <cellStyle name="Note 2 3 2 2 3 4" xfId="17101" xr:uid="{00000000-0005-0000-0000-000085540000}"/>
    <cellStyle name="Note 2 3 2 2 3 4 2" xfId="17102" xr:uid="{00000000-0005-0000-0000-000086540000}"/>
    <cellStyle name="Note 2 3 2 2 3 4 3" xfId="21782" xr:uid="{00000000-0005-0000-0000-000087540000}"/>
    <cellStyle name="Note 2 3 2 2 3 5" xfId="17103" xr:uid="{00000000-0005-0000-0000-000088540000}"/>
    <cellStyle name="Note 2 3 2 2 3 6" xfId="19192" xr:uid="{00000000-0005-0000-0000-000089540000}"/>
    <cellStyle name="Note 2 3 2 2 4" xfId="17104" xr:uid="{00000000-0005-0000-0000-00008A540000}"/>
    <cellStyle name="Note 2 3 2 2 4 2" xfId="17105" xr:uid="{00000000-0005-0000-0000-00008B540000}"/>
    <cellStyle name="Note 2 3 2 2 4 2 2" xfId="17106" xr:uid="{00000000-0005-0000-0000-00008C540000}"/>
    <cellStyle name="Note 2 3 2 2 4 2 2 2" xfId="17107" xr:uid="{00000000-0005-0000-0000-00008D540000}"/>
    <cellStyle name="Note 2 3 2 2 4 2 2 3" xfId="23395" xr:uid="{00000000-0005-0000-0000-00008E540000}"/>
    <cellStyle name="Note 2 3 2 2 4 2 3" xfId="17108" xr:uid="{00000000-0005-0000-0000-00008F540000}"/>
    <cellStyle name="Note 2 3 2 2 4 2 4" xfId="20812" xr:uid="{00000000-0005-0000-0000-000090540000}"/>
    <cellStyle name="Note 2 3 2 2 4 3" xfId="17109" xr:uid="{00000000-0005-0000-0000-000091540000}"/>
    <cellStyle name="Note 2 3 2 2 4 3 2" xfId="17110" xr:uid="{00000000-0005-0000-0000-000092540000}"/>
    <cellStyle name="Note 2 3 2 2 4 3 3" xfId="22105" xr:uid="{00000000-0005-0000-0000-000093540000}"/>
    <cellStyle name="Note 2 3 2 2 4 4" xfId="17111" xr:uid="{00000000-0005-0000-0000-000094540000}"/>
    <cellStyle name="Note 2 3 2 2 4 5" xfId="19518" xr:uid="{00000000-0005-0000-0000-000095540000}"/>
    <cellStyle name="Note 2 3 2 2 5" xfId="17112" xr:uid="{00000000-0005-0000-0000-000096540000}"/>
    <cellStyle name="Note 2 3 2 2 5 2" xfId="17113" xr:uid="{00000000-0005-0000-0000-000097540000}"/>
    <cellStyle name="Note 2 3 2 2 5 2 2" xfId="17114" xr:uid="{00000000-0005-0000-0000-000098540000}"/>
    <cellStyle name="Note 2 3 2 2 5 2 3" xfId="22750" xr:uid="{00000000-0005-0000-0000-000099540000}"/>
    <cellStyle name="Note 2 3 2 2 5 3" xfId="17115" xr:uid="{00000000-0005-0000-0000-00009A540000}"/>
    <cellStyle name="Note 2 3 2 2 5 4" xfId="20167" xr:uid="{00000000-0005-0000-0000-00009B540000}"/>
    <cellStyle name="Note 2 3 2 2 6" xfId="17116" xr:uid="{00000000-0005-0000-0000-00009C540000}"/>
    <cellStyle name="Note 2 3 2 2 6 2" xfId="17117" xr:uid="{00000000-0005-0000-0000-00009D540000}"/>
    <cellStyle name="Note 2 3 2 2 6 3" xfId="21460" xr:uid="{00000000-0005-0000-0000-00009E540000}"/>
    <cellStyle name="Note 2 3 2 2 7" xfId="17118" xr:uid="{00000000-0005-0000-0000-00009F540000}"/>
    <cellStyle name="Note 2 3 2 2 8" xfId="18862" xr:uid="{00000000-0005-0000-0000-0000A0540000}"/>
    <cellStyle name="Note 2 3 2 3" xfId="17119" xr:uid="{00000000-0005-0000-0000-0000A1540000}"/>
    <cellStyle name="Note 2 3 2 3 2" xfId="17120" xr:uid="{00000000-0005-0000-0000-0000A2540000}"/>
    <cellStyle name="Note 2 3 2 3 2 2" xfId="17121" xr:uid="{00000000-0005-0000-0000-0000A3540000}"/>
    <cellStyle name="Note 2 3 2 3 2 2 2" xfId="17122" xr:uid="{00000000-0005-0000-0000-0000A4540000}"/>
    <cellStyle name="Note 2 3 2 3 2 2 2 2" xfId="17123" xr:uid="{00000000-0005-0000-0000-0000A5540000}"/>
    <cellStyle name="Note 2 3 2 3 2 2 2 2 2" xfId="17124" xr:uid="{00000000-0005-0000-0000-0000A6540000}"/>
    <cellStyle name="Note 2 3 2 3 2 2 2 2 3" xfId="23798" xr:uid="{00000000-0005-0000-0000-0000A7540000}"/>
    <cellStyle name="Note 2 3 2 3 2 2 2 3" xfId="17125" xr:uid="{00000000-0005-0000-0000-0000A8540000}"/>
    <cellStyle name="Note 2 3 2 3 2 2 2 4" xfId="21215" xr:uid="{00000000-0005-0000-0000-0000A9540000}"/>
    <cellStyle name="Note 2 3 2 3 2 2 3" xfId="17126" xr:uid="{00000000-0005-0000-0000-0000AA540000}"/>
    <cellStyle name="Note 2 3 2 3 2 2 3 2" xfId="17127" xr:uid="{00000000-0005-0000-0000-0000AB540000}"/>
    <cellStyle name="Note 2 3 2 3 2 2 3 3" xfId="22508" xr:uid="{00000000-0005-0000-0000-0000AC540000}"/>
    <cellStyle name="Note 2 3 2 3 2 2 4" xfId="17128" xr:uid="{00000000-0005-0000-0000-0000AD540000}"/>
    <cellStyle name="Note 2 3 2 3 2 2 5" xfId="19921" xr:uid="{00000000-0005-0000-0000-0000AE540000}"/>
    <cellStyle name="Note 2 3 2 3 2 3" xfId="17129" xr:uid="{00000000-0005-0000-0000-0000AF540000}"/>
    <cellStyle name="Note 2 3 2 3 2 3 2" xfId="17130" xr:uid="{00000000-0005-0000-0000-0000B0540000}"/>
    <cellStyle name="Note 2 3 2 3 2 3 2 2" xfId="17131" xr:uid="{00000000-0005-0000-0000-0000B1540000}"/>
    <cellStyle name="Note 2 3 2 3 2 3 2 3" xfId="23153" xr:uid="{00000000-0005-0000-0000-0000B2540000}"/>
    <cellStyle name="Note 2 3 2 3 2 3 3" xfId="17132" xr:uid="{00000000-0005-0000-0000-0000B3540000}"/>
    <cellStyle name="Note 2 3 2 3 2 3 4" xfId="20570" xr:uid="{00000000-0005-0000-0000-0000B4540000}"/>
    <cellStyle name="Note 2 3 2 3 2 4" xfId="17133" xr:uid="{00000000-0005-0000-0000-0000B5540000}"/>
    <cellStyle name="Note 2 3 2 3 2 4 2" xfId="17134" xr:uid="{00000000-0005-0000-0000-0000B6540000}"/>
    <cellStyle name="Note 2 3 2 3 2 4 3" xfId="21863" xr:uid="{00000000-0005-0000-0000-0000B7540000}"/>
    <cellStyle name="Note 2 3 2 3 2 5" xfId="17135" xr:uid="{00000000-0005-0000-0000-0000B8540000}"/>
    <cellStyle name="Note 2 3 2 3 2 6" xfId="19273" xr:uid="{00000000-0005-0000-0000-0000B9540000}"/>
    <cellStyle name="Note 2 3 2 3 3" xfId="17136" xr:uid="{00000000-0005-0000-0000-0000BA540000}"/>
    <cellStyle name="Note 2 3 2 3 3 2" xfId="17137" xr:uid="{00000000-0005-0000-0000-0000BB540000}"/>
    <cellStyle name="Note 2 3 2 3 3 2 2" xfId="17138" xr:uid="{00000000-0005-0000-0000-0000BC540000}"/>
    <cellStyle name="Note 2 3 2 3 3 2 2 2" xfId="17139" xr:uid="{00000000-0005-0000-0000-0000BD540000}"/>
    <cellStyle name="Note 2 3 2 3 3 2 2 3" xfId="23476" xr:uid="{00000000-0005-0000-0000-0000BE540000}"/>
    <cellStyle name="Note 2 3 2 3 3 2 3" xfId="17140" xr:uid="{00000000-0005-0000-0000-0000BF540000}"/>
    <cellStyle name="Note 2 3 2 3 3 2 4" xfId="20893" xr:uid="{00000000-0005-0000-0000-0000C0540000}"/>
    <cellStyle name="Note 2 3 2 3 3 3" xfId="17141" xr:uid="{00000000-0005-0000-0000-0000C1540000}"/>
    <cellStyle name="Note 2 3 2 3 3 3 2" xfId="17142" xr:uid="{00000000-0005-0000-0000-0000C2540000}"/>
    <cellStyle name="Note 2 3 2 3 3 3 3" xfId="22186" xr:uid="{00000000-0005-0000-0000-0000C3540000}"/>
    <cellStyle name="Note 2 3 2 3 3 4" xfId="17143" xr:uid="{00000000-0005-0000-0000-0000C4540000}"/>
    <cellStyle name="Note 2 3 2 3 3 5" xfId="19599" xr:uid="{00000000-0005-0000-0000-0000C5540000}"/>
    <cellStyle name="Note 2 3 2 3 4" xfId="17144" xr:uid="{00000000-0005-0000-0000-0000C6540000}"/>
    <cellStyle name="Note 2 3 2 3 4 2" xfId="17145" xr:uid="{00000000-0005-0000-0000-0000C7540000}"/>
    <cellStyle name="Note 2 3 2 3 4 2 2" xfId="17146" xr:uid="{00000000-0005-0000-0000-0000C8540000}"/>
    <cellStyle name="Note 2 3 2 3 4 2 3" xfId="22831" xr:uid="{00000000-0005-0000-0000-0000C9540000}"/>
    <cellStyle name="Note 2 3 2 3 4 3" xfId="17147" xr:uid="{00000000-0005-0000-0000-0000CA540000}"/>
    <cellStyle name="Note 2 3 2 3 4 4" xfId="20248" xr:uid="{00000000-0005-0000-0000-0000CB540000}"/>
    <cellStyle name="Note 2 3 2 3 5" xfId="17148" xr:uid="{00000000-0005-0000-0000-0000CC540000}"/>
    <cellStyle name="Note 2 3 2 3 5 2" xfId="17149" xr:uid="{00000000-0005-0000-0000-0000CD540000}"/>
    <cellStyle name="Note 2 3 2 3 5 3" xfId="21541" xr:uid="{00000000-0005-0000-0000-0000CE540000}"/>
    <cellStyle name="Note 2 3 2 3 6" xfId="17150" xr:uid="{00000000-0005-0000-0000-0000CF540000}"/>
    <cellStyle name="Note 2 3 2 3 7" xfId="18947" xr:uid="{00000000-0005-0000-0000-0000D0540000}"/>
    <cellStyle name="Note 2 3 2 4" xfId="17151" xr:uid="{00000000-0005-0000-0000-0000D1540000}"/>
    <cellStyle name="Note 2 3 2 4 2" xfId="17152" xr:uid="{00000000-0005-0000-0000-0000D2540000}"/>
    <cellStyle name="Note 2 3 2 4 2 2" xfId="17153" xr:uid="{00000000-0005-0000-0000-0000D3540000}"/>
    <cellStyle name="Note 2 3 2 4 2 2 2" xfId="17154" xr:uid="{00000000-0005-0000-0000-0000D4540000}"/>
    <cellStyle name="Note 2 3 2 4 2 2 2 2" xfId="17155" xr:uid="{00000000-0005-0000-0000-0000D5540000}"/>
    <cellStyle name="Note 2 3 2 4 2 2 2 3" xfId="23637" xr:uid="{00000000-0005-0000-0000-0000D6540000}"/>
    <cellStyle name="Note 2 3 2 4 2 2 3" xfId="17156" xr:uid="{00000000-0005-0000-0000-0000D7540000}"/>
    <cellStyle name="Note 2 3 2 4 2 2 4" xfId="21054" xr:uid="{00000000-0005-0000-0000-0000D8540000}"/>
    <cellStyle name="Note 2 3 2 4 2 3" xfId="17157" xr:uid="{00000000-0005-0000-0000-0000D9540000}"/>
    <cellStyle name="Note 2 3 2 4 2 3 2" xfId="17158" xr:uid="{00000000-0005-0000-0000-0000DA540000}"/>
    <cellStyle name="Note 2 3 2 4 2 3 3" xfId="22347" xr:uid="{00000000-0005-0000-0000-0000DB540000}"/>
    <cellStyle name="Note 2 3 2 4 2 4" xfId="17159" xr:uid="{00000000-0005-0000-0000-0000DC540000}"/>
    <cellStyle name="Note 2 3 2 4 2 5" xfId="19760" xr:uid="{00000000-0005-0000-0000-0000DD540000}"/>
    <cellStyle name="Note 2 3 2 4 3" xfId="17160" xr:uid="{00000000-0005-0000-0000-0000DE540000}"/>
    <cellStyle name="Note 2 3 2 4 3 2" xfId="17161" xr:uid="{00000000-0005-0000-0000-0000DF540000}"/>
    <cellStyle name="Note 2 3 2 4 3 2 2" xfId="17162" xr:uid="{00000000-0005-0000-0000-0000E0540000}"/>
    <cellStyle name="Note 2 3 2 4 3 2 3" xfId="22992" xr:uid="{00000000-0005-0000-0000-0000E1540000}"/>
    <cellStyle name="Note 2 3 2 4 3 3" xfId="17163" xr:uid="{00000000-0005-0000-0000-0000E2540000}"/>
    <cellStyle name="Note 2 3 2 4 3 4" xfId="20409" xr:uid="{00000000-0005-0000-0000-0000E3540000}"/>
    <cellStyle name="Note 2 3 2 4 4" xfId="17164" xr:uid="{00000000-0005-0000-0000-0000E4540000}"/>
    <cellStyle name="Note 2 3 2 4 4 2" xfId="17165" xr:uid="{00000000-0005-0000-0000-0000E5540000}"/>
    <cellStyle name="Note 2 3 2 4 4 3" xfId="21702" xr:uid="{00000000-0005-0000-0000-0000E6540000}"/>
    <cellStyle name="Note 2 3 2 4 5" xfId="17166" xr:uid="{00000000-0005-0000-0000-0000E7540000}"/>
    <cellStyle name="Note 2 3 2 4 6" xfId="19112" xr:uid="{00000000-0005-0000-0000-0000E8540000}"/>
    <cellStyle name="Note 2 3 2 5" xfId="17167" xr:uid="{00000000-0005-0000-0000-0000E9540000}"/>
    <cellStyle name="Note 2 3 2 5 2" xfId="17168" xr:uid="{00000000-0005-0000-0000-0000EA540000}"/>
    <cellStyle name="Note 2 3 2 5 2 2" xfId="17169" xr:uid="{00000000-0005-0000-0000-0000EB540000}"/>
    <cellStyle name="Note 2 3 2 5 2 2 2" xfId="17170" xr:uid="{00000000-0005-0000-0000-0000EC540000}"/>
    <cellStyle name="Note 2 3 2 5 2 2 3" xfId="23314" xr:uid="{00000000-0005-0000-0000-0000ED540000}"/>
    <cellStyle name="Note 2 3 2 5 2 3" xfId="17171" xr:uid="{00000000-0005-0000-0000-0000EE540000}"/>
    <cellStyle name="Note 2 3 2 5 2 4" xfId="20731" xr:uid="{00000000-0005-0000-0000-0000EF540000}"/>
    <cellStyle name="Note 2 3 2 5 3" xfId="17172" xr:uid="{00000000-0005-0000-0000-0000F0540000}"/>
    <cellStyle name="Note 2 3 2 5 3 2" xfId="17173" xr:uid="{00000000-0005-0000-0000-0000F1540000}"/>
    <cellStyle name="Note 2 3 2 5 3 3" xfId="22024" xr:uid="{00000000-0005-0000-0000-0000F2540000}"/>
    <cellStyle name="Note 2 3 2 5 4" xfId="17174" xr:uid="{00000000-0005-0000-0000-0000F3540000}"/>
    <cellStyle name="Note 2 3 2 5 5" xfId="19438" xr:uid="{00000000-0005-0000-0000-0000F4540000}"/>
    <cellStyle name="Note 2 3 2 6" xfId="17175" xr:uid="{00000000-0005-0000-0000-0000F5540000}"/>
    <cellStyle name="Note 2 3 2 6 2" xfId="17176" xr:uid="{00000000-0005-0000-0000-0000F6540000}"/>
    <cellStyle name="Note 2 3 2 6 2 2" xfId="17177" xr:uid="{00000000-0005-0000-0000-0000F7540000}"/>
    <cellStyle name="Note 2 3 2 6 2 3" xfId="22669" xr:uid="{00000000-0005-0000-0000-0000F8540000}"/>
    <cellStyle name="Note 2 3 2 6 3" xfId="17178" xr:uid="{00000000-0005-0000-0000-0000F9540000}"/>
    <cellStyle name="Note 2 3 2 6 4" xfId="20086" xr:uid="{00000000-0005-0000-0000-0000FA540000}"/>
    <cellStyle name="Note 2 3 2 7" xfId="17179" xr:uid="{00000000-0005-0000-0000-0000FB540000}"/>
    <cellStyle name="Note 2 3 2 7 2" xfId="17180" xr:uid="{00000000-0005-0000-0000-0000FC540000}"/>
    <cellStyle name="Note 2 3 2 7 3" xfId="21379" xr:uid="{00000000-0005-0000-0000-0000FD540000}"/>
    <cellStyle name="Note 2 3 2 8" xfId="17181" xr:uid="{00000000-0005-0000-0000-0000FE540000}"/>
    <cellStyle name="Note 2 3 2 9" xfId="18765" xr:uid="{00000000-0005-0000-0000-0000FF540000}"/>
    <cellStyle name="Note 2 3 3" xfId="17182" xr:uid="{00000000-0005-0000-0000-000000550000}"/>
    <cellStyle name="Note 2 3 3 2" xfId="17183" xr:uid="{00000000-0005-0000-0000-000001550000}"/>
    <cellStyle name="Note 2 3 3 2 2" xfId="17184" xr:uid="{00000000-0005-0000-0000-000002550000}"/>
    <cellStyle name="Note 2 3 3 2 2 2" xfId="17185" xr:uid="{00000000-0005-0000-0000-000003550000}"/>
    <cellStyle name="Note 2 3 3 2 2 2 2" xfId="17186" xr:uid="{00000000-0005-0000-0000-000004550000}"/>
    <cellStyle name="Note 2 3 3 2 2 2 2 2" xfId="17187" xr:uid="{00000000-0005-0000-0000-000005550000}"/>
    <cellStyle name="Note 2 3 3 2 2 2 2 2 2" xfId="17188" xr:uid="{00000000-0005-0000-0000-000006550000}"/>
    <cellStyle name="Note 2 3 3 2 2 2 2 2 3" xfId="23838" xr:uid="{00000000-0005-0000-0000-000007550000}"/>
    <cellStyle name="Note 2 3 3 2 2 2 2 3" xfId="17189" xr:uid="{00000000-0005-0000-0000-000008550000}"/>
    <cellStyle name="Note 2 3 3 2 2 2 2 4" xfId="21255" xr:uid="{00000000-0005-0000-0000-000009550000}"/>
    <cellStyle name="Note 2 3 3 2 2 2 3" xfId="17190" xr:uid="{00000000-0005-0000-0000-00000A550000}"/>
    <cellStyle name="Note 2 3 3 2 2 2 3 2" xfId="17191" xr:uid="{00000000-0005-0000-0000-00000B550000}"/>
    <cellStyle name="Note 2 3 3 2 2 2 3 3" xfId="22548" xr:uid="{00000000-0005-0000-0000-00000C550000}"/>
    <cellStyle name="Note 2 3 3 2 2 2 4" xfId="17192" xr:uid="{00000000-0005-0000-0000-00000D550000}"/>
    <cellStyle name="Note 2 3 3 2 2 2 5" xfId="19961" xr:uid="{00000000-0005-0000-0000-00000E550000}"/>
    <cellStyle name="Note 2 3 3 2 2 3" xfId="17193" xr:uid="{00000000-0005-0000-0000-00000F550000}"/>
    <cellStyle name="Note 2 3 3 2 2 3 2" xfId="17194" xr:uid="{00000000-0005-0000-0000-000010550000}"/>
    <cellStyle name="Note 2 3 3 2 2 3 2 2" xfId="17195" xr:uid="{00000000-0005-0000-0000-000011550000}"/>
    <cellStyle name="Note 2 3 3 2 2 3 2 3" xfId="23193" xr:uid="{00000000-0005-0000-0000-000012550000}"/>
    <cellStyle name="Note 2 3 3 2 2 3 3" xfId="17196" xr:uid="{00000000-0005-0000-0000-000013550000}"/>
    <cellStyle name="Note 2 3 3 2 2 3 4" xfId="20610" xr:uid="{00000000-0005-0000-0000-000014550000}"/>
    <cellStyle name="Note 2 3 3 2 2 4" xfId="17197" xr:uid="{00000000-0005-0000-0000-000015550000}"/>
    <cellStyle name="Note 2 3 3 2 2 4 2" xfId="17198" xr:uid="{00000000-0005-0000-0000-000016550000}"/>
    <cellStyle name="Note 2 3 3 2 2 4 3" xfId="21903" xr:uid="{00000000-0005-0000-0000-000017550000}"/>
    <cellStyle name="Note 2 3 3 2 2 5" xfId="17199" xr:uid="{00000000-0005-0000-0000-000018550000}"/>
    <cellStyle name="Note 2 3 3 2 2 6" xfId="19313" xr:uid="{00000000-0005-0000-0000-000019550000}"/>
    <cellStyle name="Note 2 3 3 2 3" xfId="17200" xr:uid="{00000000-0005-0000-0000-00001A550000}"/>
    <cellStyle name="Note 2 3 3 2 3 2" xfId="17201" xr:uid="{00000000-0005-0000-0000-00001B550000}"/>
    <cellStyle name="Note 2 3 3 2 3 2 2" xfId="17202" xr:uid="{00000000-0005-0000-0000-00001C550000}"/>
    <cellStyle name="Note 2 3 3 2 3 2 2 2" xfId="17203" xr:uid="{00000000-0005-0000-0000-00001D550000}"/>
    <cellStyle name="Note 2 3 3 2 3 2 2 3" xfId="23516" xr:uid="{00000000-0005-0000-0000-00001E550000}"/>
    <cellStyle name="Note 2 3 3 2 3 2 3" xfId="17204" xr:uid="{00000000-0005-0000-0000-00001F550000}"/>
    <cellStyle name="Note 2 3 3 2 3 2 4" xfId="20933" xr:uid="{00000000-0005-0000-0000-000020550000}"/>
    <cellStyle name="Note 2 3 3 2 3 3" xfId="17205" xr:uid="{00000000-0005-0000-0000-000021550000}"/>
    <cellStyle name="Note 2 3 3 2 3 3 2" xfId="17206" xr:uid="{00000000-0005-0000-0000-000022550000}"/>
    <cellStyle name="Note 2 3 3 2 3 3 3" xfId="22226" xr:uid="{00000000-0005-0000-0000-000023550000}"/>
    <cellStyle name="Note 2 3 3 2 3 4" xfId="17207" xr:uid="{00000000-0005-0000-0000-000024550000}"/>
    <cellStyle name="Note 2 3 3 2 3 5" xfId="19639" xr:uid="{00000000-0005-0000-0000-000025550000}"/>
    <cellStyle name="Note 2 3 3 2 4" xfId="17208" xr:uid="{00000000-0005-0000-0000-000026550000}"/>
    <cellStyle name="Note 2 3 3 2 4 2" xfId="17209" xr:uid="{00000000-0005-0000-0000-000027550000}"/>
    <cellStyle name="Note 2 3 3 2 4 2 2" xfId="17210" xr:uid="{00000000-0005-0000-0000-000028550000}"/>
    <cellStyle name="Note 2 3 3 2 4 2 3" xfId="22871" xr:uid="{00000000-0005-0000-0000-000029550000}"/>
    <cellStyle name="Note 2 3 3 2 4 3" xfId="17211" xr:uid="{00000000-0005-0000-0000-00002A550000}"/>
    <cellStyle name="Note 2 3 3 2 4 4" xfId="20288" xr:uid="{00000000-0005-0000-0000-00002B550000}"/>
    <cellStyle name="Note 2 3 3 2 5" xfId="17212" xr:uid="{00000000-0005-0000-0000-00002C550000}"/>
    <cellStyle name="Note 2 3 3 2 5 2" xfId="17213" xr:uid="{00000000-0005-0000-0000-00002D550000}"/>
    <cellStyle name="Note 2 3 3 2 5 3" xfId="21581" xr:uid="{00000000-0005-0000-0000-00002E550000}"/>
    <cellStyle name="Note 2 3 3 2 6" xfId="17214" xr:uid="{00000000-0005-0000-0000-00002F550000}"/>
    <cellStyle name="Note 2 3 3 2 7" xfId="18987" xr:uid="{00000000-0005-0000-0000-000030550000}"/>
    <cellStyle name="Note 2 3 3 3" xfId="17215" xr:uid="{00000000-0005-0000-0000-000031550000}"/>
    <cellStyle name="Note 2 3 3 3 2" xfId="17216" xr:uid="{00000000-0005-0000-0000-000032550000}"/>
    <cellStyle name="Note 2 3 3 3 2 2" xfId="17217" xr:uid="{00000000-0005-0000-0000-000033550000}"/>
    <cellStyle name="Note 2 3 3 3 2 2 2" xfId="17218" xr:uid="{00000000-0005-0000-0000-000034550000}"/>
    <cellStyle name="Note 2 3 3 3 2 2 2 2" xfId="17219" xr:uid="{00000000-0005-0000-0000-000035550000}"/>
    <cellStyle name="Note 2 3 3 3 2 2 2 3" xfId="23677" xr:uid="{00000000-0005-0000-0000-000036550000}"/>
    <cellStyle name="Note 2 3 3 3 2 2 3" xfId="17220" xr:uid="{00000000-0005-0000-0000-000037550000}"/>
    <cellStyle name="Note 2 3 3 3 2 2 4" xfId="21094" xr:uid="{00000000-0005-0000-0000-000038550000}"/>
    <cellStyle name="Note 2 3 3 3 2 3" xfId="17221" xr:uid="{00000000-0005-0000-0000-000039550000}"/>
    <cellStyle name="Note 2 3 3 3 2 3 2" xfId="17222" xr:uid="{00000000-0005-0000-0000-00003A550000}"/>
    <cellStyle name="Note 2 3 3 3 2 3 3" xfId="22387" xr:uid="{00000000-0005-0000-0000-00003B550000}"/>
    <cellStyle name="Note 2 3 3 3 2 4" xfId="17223" xr:uid="{00000000-0005-0000-0000-00003C550000}"/>
    <cellStyle name="Note 2 3 3 3 2 5" xfId="19800" xr:uid="{00000000-0005-0000-0000-00003D550000}"/>
    <cellStyle name="Note 2 3 3 3 3" xfId="17224" xr:uid="{00000000-0005-0000-0000-00003E550000}"/>
    <cellStyle name="Note 2 3 3 3 3 2" xfId="17225" xr:uid="{00000000-0005-0000-0000-00003F550000}"/>
    <cellStyle name="Note 2 3 3 3 3 2 2" xfId="17226" xr:uid="{00000000-0005-0000-0000-000040550000}"/>
    <cellStyle name="Note 2 3 3 3 3 2 3" xfId="23032" xr:uid="{00000000-0005-0000-0000-000041550000}"/>
    <cellStyle name="Note 2 3 3 3 3 3" xfId="17227" xr:uid="{00000000-0005-0000-0000-000042550000}"/>
    <cellStyle name="Note 2 3 3 3 3 4" xfId="20449" xr:uid="{00000000-0005-0000-0000-000043550000}"/>
    <cellStyle name="Note 2 3 3 3 4" xfId="17228" xr:uid="{00000000-0005-0000-0000-000044550000}"/>
    <cellStyle name="Note 2 3 3 3 4 2" xfId="17229" xr:uid="{00000000-0005-0000-0000-000045550000}"/>
    <cellStyle name="Note 2 3 3 3 4 3" xfId="21742" xr:uid="{00000000-0005-0000-0000-000046550000}"/>
    <cellStyle name="Note 2 3 3 3 5" xfId="17230" xr:uid="{00000000-0005-0000-0000-000047550000}"/>
    <cellStyle name="Note 2 3 3 3 6" xfId="19152" xr:uid="{00000000-0005-0000-0000-000048550000}"/>
    <cellStyle name="Note 2 3 3 4" xfId="17231" xr:uid="{00000000-0005-0000-0000-000049550000}"/>
    <cellStyle name="Note 2 3 3 4 2" xfId="17232" xr:uid="{00000000-0005-0000-0000-00004A550000}"/>
    <cellStyle name="Note 2 3 3 4 2 2" xfId="17233" xr:uid="{00000000-0005-0000-0000-00004B550000}"/>
    <cellStyle name="Note 2 3 3 4 2 2 2" xfId="17234" xr:uid="{00000000-0005-0000-0000-00004C550000}"/>
    <cellStyle name="Note 2 3 3 4 2 2 3" xfId="23355" xr:uid="{00000000-0005-0000-0000-00004D550000}"/>
    <cellStyle name="Note 2 3 3 4 2 3" xfId="17235" xr:uid="{00000000-0005-0000-0000-00004E550000}"/>
    <cellStyle name="Note 2 3 3 4 2 4" xfId="20772" xr:uid="{00000000-0005-0000-0000-00004F550000}"/>
    <cellStyle name="Note 2 3 3 4 3" xfId="17236" xr:uid="{00000000-0005-0000-0000-000050550000}"/>
    <cellStyle name="Note 2 3 3 4 3 2" xfId="17237" xr:uid="{00000000-0005-0000-0000-000051550000}"/>
    <cellStyle name="Note 2 3 3 4 3 3" xfId="22065" xr:uid="{00000000-0005-0000-0000-000052550000}"/>
    <cellStyle name="Note 2 3 3 4 4" xfId="17238" xr:uid="{00000000-0005-0000-0000-000053550000}"/>
    <cellStyle name="Note 2 3 3 4 5" xfId="19478" xr:uid="{00000000-0005-0000-0000-000054550000}"/>
    <cellStyle name="Note 2 3 3 5" xfId="17239" xr:uid="{00000000-0005-0000-0000-000055550000}"/>
    <cellStyle name="Note 2 3 3 5 2" xfId="17240" xr:uid="{00000000-0005-0000-0000-000056550000}"/>
    <cellStyle name="Note 2 3 3 5 2 2" xfId="17241" xr:uid="{00000000-0005-0000-0000-000057550000}"/>
    <cellStyle name="Note 2 3 3 5 2 3" xfId="22710" xr:uid="{00000000-0005-0000-0000-000058550000}"/>
    <cellStyle name="Note 2 3 3 5 3" xfId="17242" xr:uid="{00000000-0005-0000-0000-000059550000}"/>
    <cellStyle name="Note 2 3 3 5 4" xfId="20127" xr:uid="{00000000-0005-0000-0000-00005A550000}"/>
    <cellStyle name="Note 2 3 3 6" xfId="17243" xr:uid="{00000000-0005-0000-0000-00005B550000}"/>
    <cellStyle name="Note 2 3 3 6 2" xfId="17244" xr:uid="{00000000-0005-0000-0000-00005C550000}"/>
    <cellStyle name="Note 2 3 3 6 3" xfId="21420" xr:uid="{00000000-0005-0000-0000-00005D550000}"/>
    <cellStyle name="Note 2 3 3 7" xfId="17245" xr:uid="{00000000-0005-0000-0000-00005E550000}"/>
    <cellStyle name="Note 2 3 3 8" xfId="18821" xr:uid="{00000000-0005-0000-0000-00005F550000}"/>
    <cellStyle name="Note 2 3 4" xfId="17246" xr:uid="{00000000-0005-0000-0000-000060550000}"/>
    <cellStyle name="Note 2 3 4 2" xfId="17247" xr:uid="{00000000-0005-0000-0000-000061550000}"/>
    <cellStyle name="Note 2 3 4 2 2" xfId="17248" xr:uid="{00000000-0005-0000-0000-000062550000}"/>
    <cellStyle name="Note 2 3 4 2 2 2" xfId="17249" xr:uid="{00000000-0005-0000-0000-000063550000}"/>
    <cellStyle name="Note 2 3 4 2 2 2 2" xfId="17250" xr:uid="{00000000-0005-0000-0000-000064550000}"/>
    <cellStyle name="Note 2 3 4 2 2 2 2 2" xfId="17251" xr:uid="{00000000-0005-0000-0000-000065550000}"/>
    <cellStyle name="Note 2 3 4 2 2 2 2 3" xfId="23758" xr:uid="{00000000-0005-0000-0000-000066550000}"/>
    <cellStyle name="Note 2 3 4 2 2 2 3" xfId="17252" xr:uid="{00000000-0005-0000-0000-000067550000}"/>
    <cellStyle name="Note 2 3 4 2 2 2 4" xfId="21175" xr:uid="{00000000-0005-0000-0000-000068550000}"/>
    <cellStyle name="Note 2 3 4 2 2 3" xfId="17253" xr:uid="{00000000-0005-0000-0000-000069550000}"/>
    <cellStyle name="Note 2 3 4 2 2 3 2" xfId="17254" xr:uid="{00000000-0005-0000-0000-00006A550000}"/>
    <cellStyle name="Note 2 3 4 2 2 3 3" xfId="22468" xr:uid="{00000000-0005-0000-0000-00006B550000}"/>
    <cellStyle name="Note 2 3 4 2 2 4" xfId="17255" xr:uid="{00000000-0005-0000-0000-00006C550000}"/>
    <cellStyle name="Note 2 3 4 2 2 5" xfId="19881" xr:uid="{00000000-0005-0000-0000-00006D550000}"/>
    <cellStyle name="Note 2 3 4 2 3" xfId="17256" xr:uid="{00000000-0005-0000-0000-00006E550000}"/>
    <cellStyle name="Note 2 3 4 2 3 2" xfId="17257" xr:uid="{00000000-0005-0000-0000-00006F550000}"/>
    <cellStyle name="Note 2 3 4 2 3 2 2" xfId="17258" xr:uid="{00000000-0005-0000-0000-000070550000}"/>
    <cellStyle name="Note 2 3 4 2 3 2 3" xfId="23113" xr:uid="{00000000-0005-0000-0000-000071550000}"/>
    <cellStyle name="Note 2 3 4 2 3 3" xfId="17259" xr:uid="{00000000-0005-0000-0000-000072550000}"/>
    <cellStyle name="Note 2 3 4 2 3 4" xfId="20530" xr:uid="{00000000-0005-0000-0000-000073550000}"/>
    <cellStyle name="Note 2 3 4 2 4" xfId="17260" xr:uid="{00000000-0005-0000-0000-000074550000}"/>
    <cellStyle name="Note 2 3 4 2 4 2" xfId="17261" xr:uid="{00000000-0005-0000-0000-000075550000}"/>
    <cellStyle name="Note 2 3 4 2 4 3" xfId="21823" xr:uid="{00000000-0005-0000-0000-000076550000}"/>
    <cellStyle name="Note 2 3 4 2 5" xfId="17262" xr:uid="{00000000-0005-0000-0000-000077550000}"/>
    <cellStyle name="Note 2 3 4 2 6" xfId="19233" xr:uid="{00000000-0005-0000-0000-000078550000}"/>
    <cellStyle name="Note 2 3 4 3" xfId="17263" xr:uid="{00000000-0005-0000-0000-000079550000}"/>
    <cellStyle name="Note 2 3 4 3 2" xfId="17264" xr:uid="{00000000-0005-0000-0000-00007A550000}"/>
    <cellStyle name="Note 2 3 4 3 2 2" xfId="17265" xr:uid="{00000000-0005-0000-0000-00007B550000}"/>
    <cellStyle name="Note 2 3 4 3 2 2 2" xfId="17266" xr:uid="{00000000-0005-0000-0000-00007C550000}"/>
    <cellStyle name="Note 2 3 4 3 2 2 3" xfId="23436" xr:uid="{00000000-0005-0000-0000-00007D550000}"/>
    <cellStyle name="Note 2 3 4 3 2 3" xfId="17267" xr:uid="{00000000-0005-0000-0000-00007E550000}"/>
    <cellStyle name="Note 2 3 4 3 2 4" xfId="20853" xr:uid="{00000000-0005-0000-0000-00007F550000}"/>
    <cellStyle name="Note 2 3 4 3 3" xfId="17268" xr:uid="{00000000-0005-0000-0000-000080550000}"/>
    <cellStyle name="Note 2 3 4 3 3 2" xfId="17269" xr:uid="{00000000-0005-0000-0000-000081550000}"/>
    <cellStyle name="Note 2 3 4 3 3 3" xfId="22146" xr:uid="{00000000-0005-0000-0000-000082550000}"/>
    <cellStyle name="Note 2 3 4 3 4" xfId="17270" xr:uid="{00000000-0005-0000-0000-000083550000}"/>
    <cellStyle name="Note 2 3 4 3 5" xfId="19559" xr:uid="{00000000-0005-0000-0000-000084550000}"/>
    <cellStyle name="Note 2 3 4 4" xfId="17271" xr:uid="{00000000-0005-0000-0000-000085550000}"/>
    <cellStyle name="Note 2 3 4 4 2" xfId="17272" xr:uid="{00000000-0005-0000-0000-000086550000}"/>
    <cellStyle name="Note 2 3 4 4 2 2" xfId="17273" xr:uid="{00000000-0005-0000-0000-000087550000}"/>
    <cellStyle name="Note 2 3 4 4 2 3" xfId="22791" xr:uid="{00000000-0005-0000-0000-000088550000}"/>
    <cellStyle name="Note 2 3 4 4 3" xfId="17274" xr:uid="{00000000-0005-0000-0000-000089550000}"/>
    <cellStyle name="Note 2 3 4 4 4" xfId="20208" xr:uid="{00000000-0005-0000-0000-00008A550000}"/>
    <cellStyle name="Note 2 3 4 5" xfId="17275" xr:uid="{00000000-0005-0000-0000-00008B550000}"/>
    <cellStyle name="Note 2 3 4 5 2" xfId="17276" xr:uid="{00000000-0005-0000-0000-00008C550000}"/>
    <cellStyle name="Note 2 3 4 5 3" xfId="21501" xr:uid="{00000000-0005-0000-0000-00008D550000}"/>
    <cellStyle name="Note 2 3 4 6" xfId="17277" xr:uid="{00000000-0005-0000-0000-00008E550000}"/>
    <cellStyle name="Note 2 3 4 7" xfId="18907" xr:uid="{00000000-0005-0000-0000-00008F550000}"/>
    <cellStyle name="Note 2 3 5" xfId="17278" xr:uid="{00000000-0005-0000-0000-000090550000}"/>
    <cellStyle name="Note 2 3 5 2" xfId="17279" xr:uid="{00000000-0005-0000-0000-000091550000}"/>
    <cellStyle name="Note 2 3 5 2 2" xfId="17280" xr:uid="{00000000-0005-0000-0000-000092550000}"/>
    <cellStyle name="Note 2 3 5 2 2 2" xfId="17281" xr:uid="{00000000-0005-0000-0000-000093550000}"/>
    <cellStyle name="Note 2 3 5 2 2 2 2" xfId="17282" xr:uid="{00000000-0005-0000-0000-000094550000}"/>
    <cellStyle name="Note 2 3 5 2 2 2 3" xfId="23597" xr:uid="{00000000-0005-0000-0000-000095550000}"/>
    <cellStyle name="Note 2 3 5 2 2 3" xfId="17283" xr:uid="{00000000-0005-0000-0000-000096550000}"/>
    <cellStyle name="Note 2 3 5 2 2 4" xfId="21014" xr:uid="{00000000-0005-0000-0000-000097550000}"/>
    <cellStyle name="Note 2 3 5 2 3" xfId="17284" xr:uid="{00000000-0005-0000-0000-000098550000}"/>
    <cellStyle name="Note 2 3 5 2 3 2" xfId="17285" xr:uid="{00000000-0005-0000-0000-000099550000}"/>
    <cellStyle name="Note 2 3 5 2 3 3" xfId="22307" xr:uid="{00000000-0005-0000-0000-00009A550000}"/>
    <cellStyle name="Note 2 3 5 2 4" xfId="17286" xr:uid="{00000000-0005-0000-0000-00009B550000}"/>
    <cellStyle name="Note 2 3 5 2 5" xfId="19720" xr:uid="{00000000-0005-0000-0000-00009C550000}"/>
    <cellStyle name="Note 2 3 5 3" xfId="17287" xr:uid="{00000000-0005-0000-0000-00009D550000}"/>
    <cellStyle name="Note 2 3 5 3 2" xfId="17288" xr:uid="{00000000-0005-0000-0000-00009E550000}"/>
    <cellStyle name="Note 2 3 5 3 2 2" xfId="17289" xr:uid="{00000000-0005-0000-0000-00009F550000}"/>
    <cellStyle name="Note 2 3 5 3 2 3" xfId="22952" xr:uid="{00000000-0005-0000-0000-0000A0550000}"/>
    <cellStyle name="Note 2 3 5 3 3" xfId="17290" xr:uid="{00000000-0005-0000-0000-0000A1550000}"/>
    <cellStyle name="Note 2 3 5 3 4" xfId="20369" xr:uid="{00000000-0005-0000-0000-0000A2550000}"/>
    <cellStyle name="Note 2 3 5 4" xfId="17291" xr:uid="{00000000-0005-0000-0000-0000A3550000}"/>
    <cellStyle name="Note 2 3 5 4 2" xfId="17292" xr:uid="{00000000-0005-0000-0000-0000A4550000}"/>
    <cellStyle name="Note 2 3 5 4 3" xfId="21662" xr:uid="{00000000-0005-0000-0000-0000A5550000}"/>
    <cellStyle name="Note 2 3 5 5" xfId="17293" xr:uid="{00000000-0005-0000-0000-0000A6550000}"/>
    <cellStyle name="Note 2 3 5 6" xfId="19072" xr:uid="{00000000-0005-0000-0000-0000A7550000}"/>
    <cellStyle name="Note 2 3 6" xfId="17294" xr:uid="{00000000-0005-0000-0000-0000A8550000}"/>
    <cellStyle name="Note 2 3 6 2" xfId="17295" xr:uid="{00000000-0005-0000-0000-0000A9550000}"/>
    <cellStyle name="Note 2 3 6 2 2" xfId="17296" xr:uid="{00000000-0005-0000-0000-0000AA550000}"/>
    <cellStyle name="Note 2 3 6 2 2 2" xfId="17297" xr:uid="{00000000-0005-0000-0000-0000AB550000}"/>
    <cellStyle name="Note 2 3 6 2 2 3" xfId="23274" xr:uid="{00000000-0005-0000-0000-0000AC550000}"/>
    <cellStyle name="Note 2 3 6 2 3" xfId="17298" xr:uid="{00000000-0005-0000-0000-0000AD550000}"/>
    <cellStyle name="Note 2 3 6 2 4" xfId="20691" xr:uid="{00000000-0005-0000-0000-0000AE550000}"/>
    <cellStyle name="Note 2 3 6 3" xfId="17299" xr:uid="{00000000-0005-0000-0000-0000AF550000}"/>
    <cellStyle name="Note 2 3 6 3 2" xfId="17300" xr:uid="{00000000-0005-0000-0000-0000B0550000}"/>
    <cellStyle name="Note 2 3 6 3 3" xfId="21984" xr:uid="{00000000-0005-0000-0000-0000B1550000}"/>
    <cellStyle name="Note 2 3 6 4" xfId="17301" xr:uid="{00000000-0005-0000-0000-0000B2550000}"/>
    <cellStyle name="Note 2 3 6 5" xfId="19398" xr:uid="{00000000-0005-0000-0000-0000B3550000}"/>
    <cellStyle name="Note 2 3 7" xfId="17302" xr:uid="{00000000-0005-0000-0000-0000B4550000}"/>
    <cellStyle name="Note 2 3 7 2" xfId="17303" xr:uid="{00000000-0005-0000-0000-0000B5550000}"/>
    <cellStyle name="Note 2 3 7 2 2" xfId="17304" xr:uid="{00000000-0005-0000-0000-0000B6550000}"/>
    <cellStyle name="Note 2 3 7 2 3" xfId="22629" xr:uid="{00000000-0005-0000-0000-0000B7550000}"/>
    <cellStyle name="Note 2 3 7 3" xfId="17305" xr:uid="{00000000-0005-0000-0000-0000B8550000}"/>
    <cellStyle name="Note 2 3 7 4" xfId="20046" xr:uid="{00000000-0005-0000-0000-0000B9550000}"/>
    <cellStyle name="Note 2 3 8" xfId="17306" xr:uid="{00000000-0005-0000-0000-0000BA550000}"/>
    <cellStyle name="Note 2 3 8 2" xfId="17307" xr:uid="{00000000-0005-0000-0000-0000BB550000}"/>
    <cellStyle name="Note 2 3 8 3" xfId="21339" xr:uid="{00000000-0005-0000-0000-0000BC550000}"/>
    <cellStyle name="Note 2 3 9" xfId="17308" xr:uid="{00000000-0005-0000-0000-0000BD550000}"/>
    <cellStyle name="Note 2 4" xfId="17309" xr:uid="{00000000-0005-0000-0000-0000BE550000}"/>
    <cellStyle name="Note 2 4 2" xfId="17310" xr:uid="{00000000-0005-0000-0000-0000BF550000}"/>
    <cellStyle name="Note 2 4 2 2" xfId="17311" xr:uid="{00000000-0005-0000-0000-0000C0550000}"/>
    <cellStyle name="Note 2 4 2 2 2" xfId="17312" xr:uid="{00000000-0005-0000-0000-0000C1550000}"/>
    <cellStyle name="Note 2 4 2 2 2 2" xfId="17313" xr:uid="{00000000-0005-0000-0000-0000C2550000}"/>
    <cellStyle name="Note 2 4 2 2 2 2 2" xfId="17314" xr:uid="{00000000-0005-0000-0000-0000C3550000}"/>
    <cellStyle name="Note 2 4 2 2 2 2 2 2" xfId="17315" xr:uid="{00000000-0005-0000-0000-0000C4550000}"/>
    <cellStyle name="Note 2 4 2 2 2 2 2 2 2" xfId="17316" xr:uid="{00000000-0005-0000-0000-0000C5550000}"/>
    <cellStyle name="Note 2 4 2 2 2 2 2 2 3" xfId="23858" xr:uid="{00000000-0005-0000-0000-0000C6550000}"/>
    <cellStyle name="Note 2 4 2 2 2 2 2 3" xfId="17317" xr:uid="{00000000-0005-0000-0000-0000C7550000}"/>
    <cellStyle name="Note 2 4 2 2 2 2 2 4" xfId="21275" xr:uid="{00000000-0005-0000-0000-0000C8550000}"/>
    <cellStyle name="Note 2 4 2 2 2 2 3" xfId="17318" xr:uid="{00000000-0005-0000-0000-0000C9550000}"/>
    <cellStyle name="Note 2 4 2 2 2 2 3 2" xfId="17319" xr:uid="{00000000-0005-0000-0000-0000CA550000}"/>
    <cellStyle name="Note 2 4 2 2 2 2 3 3" xfId="22568" xr:uid="{00000000-0005-0000-0000-0000CB550000}"/>
    <cellStyle name="Note 2 4 2 2 2 2 4" xfId="17320" xr:uid="{00000000-0005-0000-0000-0000CC550000}"/>
    <cellStyle name="Note 2 4 2 2 2 2 5" xfId="19981" xr:uid="{00000000-0005-0000-0000-0000CD550000}"/>
    <cellStyle name="Note 2 4 2 2 2 3" xfId="17321" xr:uid="{00000000-0005-0000-0000-0000CE550000}"/>
    <cellStyle name="Note 2 4 2 2 2 3 2" xfId="17322" xr:uid="{00000000-0005-0000-0000-0000CF550000}"/>
    <cellStyle name="Note 2 4 2 2 2 3 2 2" xfId="17323" xr:uid="{00000000-0005-0000-0000-0000D0550000}"/>
    <cellStyle name="Note 2 4 2 2 2 3 2 3" xfId="23213" xr:uid="{00000000-0005-0000-0000-0000D1550000}"/>
    <cellStyle name="Note 2 4 2 2 2 3 3" xfId="17324" xr:uid="{00000000-0005-0000-0000-0000D2550000}"/>
    <cellStyle name="Note 2 4 2 2 2 3 4" xfId="20630" xr:uid="{00000000-0005-0000-0000-0000D3550000}"/>
    <cellStyle name="Note 2 4 2 2 2 4" xfId="17325" xr:uid="{00000000-0005-0000-0000-0000D4550000}"/>
    <cellStyle name="Note 2 4 2 2 2 4 2" xfId="17326" xr:uid="{00000000-0005-0000-0000-0000D5550000}"/>
    <cellStyle name="Note 2 4 2 2 2 4 3" xfId="21923" xr:uid="{00000000-0005-0000-0000-0000D6550000}"/>
    <cellStyle name="Note 2 4 2 2 2 5" xfId="17327" xr:uid="{00000000-0005-0000-0000-0000D7550000}"/>
    <cellStyle name="Note 2 4 2 2 2 6" xfId="19333" xr:uid="{00000000-0005-0000-0000-0000D8550000}"/>
    <cellStyle name="Note 2 4 2 2 3" xfId="17328" xr:uid="{00000000-0005-0000-0000-0000D9550000}"/>
    <cellStyle name="Note 2 4 2 2 3 2" xfId="17329" xr:uid="{00000000-0005-0000-0000-0000DA550000}"/>
    <cellStyle name="Note 2 4 2 2 3 2 2" xfId="17330" xr:uid="{00000000-0005-0000-0000-0000DB550000}"/>
    <cellStyle name="Note 2 4 2 2 3 2 2 2" xfId="17331" xr:uid="{00000000-0005-0000-0000-0000DC550000}"/>
    <cellStyle name="Note 2 4 2 2 3 2 2 3" xfId="23536" xr:uid="{00000000-0005-0000-0000-0000DD550000}"/>
    <cellStyle name="Note 2 4 2 2 3 2 3" xfId="17332" xr:uid="{00000000-0005-0000-0000-0000DE550000}"/>
    <cellStyle name="Note 2 4 2 2 3 2 4" xfId="20953" xr:uid="{00000000-0005-0000-0000-0000DF550000}"/>
    <cellStyle name="Note 2 4 2 2 3 3" xfId="17333" xr:uid="{00000000-0005-0000-0000-0000E0550000}"/>
    <cellStyle name="Note 2 4 2 2 3 3 2" xfId="17334" xr:uid="{00000000-0005-0000-0000-0000E1550000}"/>
    <cellStyle name="Note 2 4 2 2 3 3 3" xfId="22246" xr:uid="{00000000-0005-0000-0000-0000E2550000}"/>
    <cellStyle name="Note 2 4 2 2 3 4" xfId="17335" xr:uid="{00000000-0005-0000-0000-0000E3550000}"/>
    <cellStyle name="Note 2 4 2 2 3 5" xfId="19659" xr:uid="{00000000-0005-0000-0000-0000E4550000}"/>
    <cellStyle name="Note 2 4 2 2 4" xfId="17336" xr:uid="{00000000-0005-0000-0000-0000E5550000}"/>
    <cellStyle name="Note 2 4 2 2 4 2" xfId="17337" xr:uid="{00000000-0005-0000-0000-0000E6550000}"/>
    <cellStyle name="Note 2 4 2 2 4 2 2" xfId="17338" xr:uid="{00000000-0005-0000-0000-0000E7550000}"/>
    <cellStyle name="Note 2 4 2 2 4 2 3" xfId="22891" xr:uid="{00000000-0005-0000-0000-0000E8550000}"/>
    <cellStyle name="Note 2 4 2 2 4 3" xfId="17339" xr:uid="{00000000-0005-0000-0000-0000E9550000}"/>
    <cellStyle name="Note 2 4 2 2 4 4" xfId="20308" xr:uid="{00000000-0005-0000-0000-0000EA550000}"/>
    <cellStyle name="Note 2 4 2 2 5" xfId="17340" xr:uid="{00000000-0005-0000-0000-0000EB550000}"/>
    <cellStyle name="Note 2 4 2 2 5 2" xfId="17341" xr:uid="{00000000-0005-0000-0000-0000EC550000}"/>
    <cellStyle name="Note 2 4 2 2 5 3" xfId="21601" xr:uid="{00000000-0005-0000-0000-0000ED550000}"/>
    <cellStyle name="Note 2 4 2 2 6" xfId="17342" xr:uid="{00000000-0005-0000-0000-0000EE550000}"/>
    <cellStyle name="Note 2 4 2 2 7" xfId="19007" xr:uid="{00000000-0005-0000-0000-0000EF550000}"/>
    <cellStyle name="Note 2 4 2 3" xfId="17343" xr:uid="{00000000-0005-0000-0000-0000F0550000}"/>
    <cellStyle name="Note 2 4 2 3 2" xfId="17344" xr:uid="{00000000-0005-0000-0000-0000F1550000}"/>
    <cellStyle name="Note 2 4 2 3 2 2" xfId="17345" xr:uid="{00000000-0005-0000-0000-0000F2550000}"/>
    <cellStyle name="Note 2 4 2 3 2 2 2" xfId="17346" xr:uid="{00000000-0005-0000-0000-0000F3550000}"/>
    <cellStyle name="Note 2 4 2 3 2 2 2 2" xfId="17347" xr:uid="{00000000-0005-0000-0000-0000F4550000}"/>
    <cellStyle name="Note 2 4 2 3 2 2 2 3" xfId="23697" xr:uid="{00000000-0005-0000-0000-0000F5550000}"/>
    <cellStyle name="Note 2 4 2 3 2 2 3" xfId="17348" xr:uid="{00000000-0005-0000-0000-0000F6550000}"/>
    <cellStyle name="Note 2 4 2 3 2 2 4" xfId="21114" xr:uid="{00000000-0005-0000-0000-0000F7550000}"/>
    <cellStyle name="Note 2 4 2 3 2 3" xfId="17349" xr:uid="{00000000-0005-0000-0000-0000F8550000}"/>
    <cellStyle name="Note 2 4 2 3 2 3 2" xfId="17350" xr:uid="{00000000-0005-0000-0000-0000F9550000}"/>
    <cellStyle name="Note 2 4 2 3 2 3 3" xfId="22407" xr:uid="{00000000-0005-0000-0000-0000FA550000}"/>
    <cellStyle name="Note 2 4 2 3 2 4" xfId="17351" xr:uid="{00000000-0005-0000-0000-0000FB550000}"/>
    <cellStyle name="Note 2 4 2 3 2 5" xfId="19820" xr:uid="{00000000-0005-0000-0000-0000FC550000}"/>
    <cellStyle name="Note 2 4 2 3 3" xfId="17352" xr:uid="{00000000-0005-0000-0000-0000FD550000}"/>
    <cellStyle name="Note 2 4 2 3 3 2" xfId="17353" xr:uid="{00000000-0005-0000-0000-0000FE550000}"/>
    <cellStyle name="Note 2 4 2 3 3 2 2" xfId="17354" xr:uid="{00000000-0005-0000-0000-0000FF550000}"/>
    <cellStyle name="Note 2 4 2 3 3 2 3" xfId="23052" xr:uid="{00000000-0005-0000-0000-000000560000}"/>
    <cellStyle name="Note 2 4 2 3 3 3" xfId="17355" xr:uid="{00000000-0005-0000-0000-000001560000}"/>
    <cellStyle name="Note 2 4 2 3 3 4" xfId="20469" xr:uid="{00000000-0005-0000-0000-000002560000}"/>
    <cellStyle name="Note 2 4 2 3 4" xfId="17356" xr:uid="{00000000-0005-0000-0000-000003560000}"/>
    <cellStyle name="Note 2 4 2 3 4 2" xfId="17357" xr:uid="{00000000-0005-0000-0000-000004560000}"/>
    <cellStyle name="Note 2 4 2 3 4 3" xfId="21762" xr:uid="{00000000-0005-0000-0000-000005560000}"/>
    <cellStyle name="Note 2 4 2 3 5" xfId="17358" xr:uid="{00000000-0005-0000-0000-000006560000}"/>
    <cellStyle name="Note 2 4 2 3 6" xfId="19172" xr:uid="{00000000-0005-0000-0000-000007560000}"/>
    <cellStyle name="Note 2 4 2 4" xfId="17359" xr:uid="{00000000-0005-0000-0000-000008560000}"/>
    <cellStyle name="Note 2 4 2 4 2" xfId="17360" xr:uid="{00000000-0005-0000-0000-000009560000}"/>
    <cellStyle name="Note 2 4 2 4 2 2" xfId="17361" xr:uid="{00000000-0005-0000-0000-00000A560000}"/>
    <cellStyle name="Note 2 4 2 4 2 2 2" xfId="17362" xr:uid="{00000000-0005-0000-0000-00000B560000}"/>
    <cellStyle name="Note 2 4 2 4 2 2 3" xfId="23375" xr:uid="{00000000-0005-0000-0000-00000C560000}"/>
    <cellStyle name="Note 2 4 2 4 2 3" xfId="17363" xr:uid="{00000000-0005-0000-0000-00000D560000}"/>
    <cellStyle name="Note 2 4 2 4 2 4" xfId="20792" xr:uid="{00000000-0005-0000-0000-00000E560000}"/>
    <cellStyle name="Note 2 4 2 4 3" xfId="17364" xr:uid="{00000000-0005-0000-0000-00000F560000}"/>
    <cellStyle name="Note 2 4 2 4 3 2" xfId="17365" xr:uid="{00000000-0005-0000-0000-000010560000}"/>
    <cellStyle name="Note 2 4 2 4 3 3" xfId="22085" xr:uid="{00000000-0005-0000-0000-000011560000}"/>
    <cellStyle name="Note 2 4 2 4 4" xfId="17366" xr:uid="{00000000-0005-0000-0000-000012560000}"/>
    <cellStyle name="Note 2 4 2 4 5" xfId="19498" xr:uid="{00000000-0005-0000-0000-000013560000}"/>
    <cellStyle name="Note 2 4 2 5" xfId="17367" xr:uid="{00000000-0005-0000-0000-000014560000}"/>
    <cellStyle name="Note 2 4 2 5 2" xfId="17368" xr:uid="{00000000-0005-0000-0000-000015560000}"/>
    <cellStyle name="Note 2 4 2 5 2 2" xfId="17369" xr:uid="{00000000-0005-0000-0000-000016560000}"/>
    <cellStyle name="Note 2 4 2 5 2 3" xfId="22730" xr:uid="{00000000-0005-0000-0000-000017560000}"/>
    <cellStyle name="Note 2 4 2 5 3" xfId="17370" xr:uid="{00000000-0005-0000-0000-000018560000}"/>
    <cellStyle name="Note 2 4 2 5 4" xfId="20147" xr:uid="{00000000-0005-0000-0000-000019560000}"/>
    <cellStyle name="Note 2 4 2 6" xfId="17371" xr:uid="{00000000-0005-0000-0000-00001A560000}"/>
    <cellStyle name="Note 2 4 2 6 2" xfId="17372" xr:uid="{00000000-0005-0000-0000-00001B560000}"/>
    <cellStyle name="Note 2 4 2 6 3" xfId="21440" xr:uid="{00000000-0005-0000-0000-00001C560000}"/>
    <cellStyle name="Note 2 4 2 7" xfId="17373" xr:uid="{00000000-0005-0000-0000-00001D560000}"/>
    <cellStyle name="Note 2 4 2 8" xfId="18842" xr:uid="{00000000-0005-0000-0000-00001E560000}"/>
    <cellStyle name="Note 2 4 3" xfId="17374" xr:uid="{00000000-0005-0000-0000-00001F560000}"/>
    <cellStyle name="Note 2 4 3 2" xfId="17375" xr:uid="{00000000-0005-0000-0000-000020560000}"/>
    <cellStyle name="Note 2 4 3 2 2" xfId="17376" xr:uid="{00000000-0005-0000-0000-000021560000}"/>
    <cellStyle name="Note 2 4 3 2 2 2" xfId="17377" xr:uid="{00000000-0005-0000-0000-000022560000}"/>
    <cellStyle name="Note 2 4 3 2 2 2 2" xfId="17378" xr:uid="{00000000-0005-0000-0000-000023560000}"/>
    <cellStyle name="Note 2 4 3 2 2 2 2 2" xfId="17379" xr:uid="{00000000-0005-0000-0000-000024560000}"/>
    <cellStyle name="Note 2 4 3 2 2 2 2 3" xfId="23778" xr:uid="{00000000-0005-0000-0000-000025560000}"/>
    <cellStyle name="Note 2 4 3 2 2 2 3" xfId="17380" xr:uid="{00000000-0005-0000-0000-000026560000}"/>
    <cellStyle name="Note 2 4 3 2 2 2 4" xfId="21195" xr:uid="{00000000-0005-0000-0000-000027560000}"/>
    <cellStyle name="Note 2 4 3 2 2 3" xfId="17381" xr:uid="{00000000-0005-0000-0000-000028560000}"/>
    <cellStyle name="Note 2 4 3 2 2 3 2" xfId="17382" xr:uid="{00000000-0005-0000-0000-000029560000}"/>
    <cellStyle name="Note 2 4 3 2 2 3 3" xfId="22488" xr:uid="{00000000-0005-0000-0000-00002A560000}"/>
    <cellStyle name="Note 2 4 3 2 2 4" xfId="17383" xr:uid="{00000000-0005-0000-0000-00002B560000}"/>
    <cellStyle name="Note 2 4 3 2 2 5" xfId="19901" xr:uid="{00000000-0005-0000-0000-00002C560000}"/>
    <cellStyle name="Note 2 4 3 2 3" xfId="17384" xr:uid="{00000000-0005-0000-0000-00002D560000}"/>
    <cellStyle name="Note 2 4 3 2 3 2" xfId="17385" xr:uid="{00000000-0005-0000-0000-00002E560000}"/>
    <cellStyle name="Note 2 4 3 2 3 2 2" xfId="17386" xr:uid="{00000000-0005-0000-0000-00002F560000}"/>
    <cellStyle name="Note 2 4 3 2 3 2 3" xfId="23133" xr:uid="{00000000-0005-0000-0000-000030560000}"/>
    <cellStyle name="Note 2 4 3 2 3 3" xfId="17387" xr:uid="{00000000-0005-0000-0000-000031560000}"/>
    <cellStyle name="Note 2 4 3 2 3 4" xfId="20550" xr:uid="{00000000-0005-0000-0000-000032560000}"/>
    <cellStyle name="Note 2 4 3 2 4" xfId="17388" xr:uid="{00000000-0005-0000-0000-000033560000}"/>
    <cellStyle name="Note 2 4 3 2 4 2" xfId="17389" xr:uid="{00000000-0005-0000-0000-000034560000}"/>
    <cellStyle name="Note 2 4 3 2 4 3" xfId="21843" xr:uid="{00000000-0005-0000-0000-000035560000}"/>
    <cellStyle name="Note 2 4 3 2 5" xfId="17390" xr:uid="{00000000-0005-0000-0000-000036560000}"/>
    <cellStyle name="Note 2 4 3 2 6" xfId="19253" xr:uid="{00000000-0005-0000-0000-000037560000}"/>
    <cellStyle name="Note 2 4 3 3" xfId="17391" xr:uid="{00000000-0005-0000-0000-000038560000}"/>
    <cellStyle name="Note 2 4 3 3 2" xfId="17392" xr:uid="{00000000-0005-0000-0000-000039560000}"/>
    <cellStyle name="Note 2 4 3 3 2 2" xfId="17393" xr:uid="{00000000-0005-0000-0000-00003A560000}"/>
    <cellStyle name="Note 2 4 3 3 2 2 2" xfId="17394" xr:uid="{00000000-0005-0000-0000-00003B560000}"/>
    <cellStyle name="Note 2 4 3 3 2 2 3" xfId="23456" xr:uid="{00000000-0005-0000-0000-00003C560000}"/>
    <cellStyle name="Note 2 4 3 3 2 3" xfId="17395" xr:uid="{00000000-0005-0000-0000-00003D560000}"/>
    <cellStyle name="Note 2 4 3 3 2 4" xfId="20873" xr:uid="{00000000-0005-0000-0000-00003E560000}"/>
    <cellStyle name="Note 2 4 3 3 3" xfId="17396" xr:uid="{00000000-0005-0000-0000-00003F560000}"/>
    <cellStyle name="Note 2 4 3 3 3 2" xfId="17397" xr:uid="{00000000-0005-0000-0000-000040560000}"/>
    <cellStyle name="Note 2 4 3 3 3 3" xfId="22166" xr:uid="{00000000-0005-0000-0000-000041560000}"/>
    <cellStyle name="Note 2 4 3 3 4" xfId="17398" xr:uid="{00000000-0005-0000-0000-000042560000}"/>
    <cellStyle name="Note 2 4 3 3 5" xfId="19579" xr:uid="{00000000-0005-0000-0000-000043560000}"/>
    <cellStyle name="Note 2 4 3 4" xfId="17399" xr:uid="{00000000-0005-0000-0000-000044560000}"/>
    <cellStyle name="Note 2 4 3 4 2" xfId="17400" xr:uid="{00000000-0005-0000-0000-000045560000}"/>
    <cellStyle name="Note 2 4 3 4 2 2" xfId="17401" xr:uid="{00000000-0005-0000-0000-000046560000}"/>
    <cellStyle name="Note 2 4 3 4 2 3" xfId="22811" xr:uid="{00000000-0005-0000-0000-000047560000}"/>
    <cellStyle name="Note 2 4 3 4 3" xfId="17402" xr:uid="{00000000-0005-0000-0000-000048560000}"/>
    <cellStyle name="Note 2 4 3 4 4" xfId="20228" xr:uid="{00000000-0005-0000-0000-000049560000}"/>
    <cellStyle name="Note 2 4 3 5" xfId="17403" xr:uid="{00000000-0005-0000-0000-00004A560000}"/>
    <cellStyle name="Note 2 4 3 5 2" xfId="17404" xr:uid="{00000000-0005-0000-0000-00004B560000}"/>
    <cellStyle name="Note 2 4 3 5 3" xfId="21521" xr:uid="{00000000-0005-0000-0000-00004C560000}"/>
    <cellStyle name="Note 2 4 3 6" xfId="17405" xr:uid="{00000000-0005-0000-0000-00004D560000}"/>
    <cellStyle name="Note 2 4 3 7" xfId="18927" xr:uid="{00000000-0005-0000-0000-00004E560000}"/>
    <cellStyle name="Note 2 4 4" xfId="17406" xr:uid="{00000000-0005-0000-0000-00004F560000}"/>
    <cellStyle name="Note 2 4 4 2" xfId="17407" xr:uid="{00000000-0005-0000-0000-000050560000}"/>
    <cellStyle name="Note 2 4 4 2 2" xfId="17408" xr:uid="{00000000-0005-0000-0000-000051560000}"/>
    <cellStyle name="Note 2 4 4 2 2 2" xfId="17409" xr:uid="{00000000-0005-0000-0000-000052560000}"/>
    <cellStyle name="Note 2 4 4 2 2 2 2" xfId="17410" xr:uid="{00000000-0005-0000-0000-000053560000}"/>
    <cellStyle name="Note 2 4 4 2 2 2 3" xfId="23617" xr:uid="{00000000-0005-0000-0000-000054560000}"/>
    <cellStyle name="Note 2 4 4 2 2 3" xfId="17411" xr:uid="{00000000-0005-0000-0000-000055560000}"/>
    <cellStyle name="Note 2 4 4 2 2 4" xfId="21034" xr:uid="{00000000-0005-0000-0000-000056560000}"/>
    <cellStyle name="Note 2 4 4 2 3" xfId="17412" xr:uid="{00000000-0005-0000-0000-000057560000}"/>
    <cellStyle name="Note 2 4 4 2 3 2" xfId="17413" xr:uid="{00000000-0005-0000-0000-000058560000}"/>
    <cellStyle name="Note 2 4 4 2 3 3" xfId="22327" xr:uid="{00000000-0005-0000-0000-000059560000}"/>
    <cellStyle name="Note 2 4 4 2 4" xfId="17414" xr:uid="{00000000-0005-0000-0000-00005A560000}"/>
    <cellStyle name="Note 2 4 4 2 5" xfId="19740" xr:uid="{00000000-0005-0000-0000-00005B560000}"/>
    <cellStyle name="Note 2 4 4 3" xfId="17415" xr:uid="{00000000-0005-0000-0000-00005C560000}"/>
    <cellStyle name="Note 2 4 4 3 2" xfId="17416" xr:uid="{00000000-0005-0000-0000-00005D560000}"/>
    <cellStyle name="Note 2 4 4 3 2 2" xfId="17417" xr:uid="{00000000-0005-0000-0000-00005E560000}"/>
    <cellStyle name="Note 2 4 4 3 2 3" xfId="22972" xr:uid="{00000000-0005-0000-0000-00005F560000}"/>
    <cellStyle name="Note 2 4 4 3 3" xfId="17418" xr:uid="{00000000-0005-0000-0000-000060560000}"/>
    <cellStyle name="Note 2 4 4 3 4" xfId="20389" xr:uid="{00000000-0005-0000-0000-000061560000}"/>
    <cellStyle name="Note 2 4 4 4" xfId="17419" xr:uid="{00000000-0005-0000-0000-000062560000}"/>
    <cellStyle name="Note 2 4 4 4 2" xfId="17420" xr:uid="{00000000-0005-0000-0000-000063560000}"/>
    <cellStyle name="Note 2 4 4 4 3" xfId="21682" xr:uid="{00000000-0005-0000-0000-000064560000}"/>
    <cellStyle name="Note 2 4 4 5" xfId="17421" xr:uid="{00000000-0005-0000-0000-000065560000}"/>
    <cellStyle name="Note 2 4 4 6" xfId="19092" xr:uid="{00000000-0005-0000-0000-000066560000}"/>
    <cellStyle name="Note 2 4 5" xfId="17422" xr:uid="{00000000-0005-0000-0000-000067560000}"/>
    <cellStyle name="Note 2 4 5 2" xfId="17423" xr:uid="{00000000-0005-0000-0000-000068560000}"/>
    <cellStyle name="Note 2 4 5 2 2" xfId="17424" xr:uid="{00000000-0005-0000-0000-000069560000}"/>
    <cellStyle name="Note 2 4 5 2 2 2" xfId="17425" xr:uid="{00000000-0005-0000-0000-00006A560000}"/>
    <cellStyle name="Note 2 4 5 2 2 3" xfId="23294" xr:uid="{00000000-0005-0000-0000-00006B560000}"/>
    <cellStyle name="Note 2 4 5 2 3" xfId="17426" xr:uid="{00000000-0005-0000-0000-00006C560000}"/>
    <cellStyle name="Note 2 4 5 2 4" xfId="20711" xr:uid="{00000000-0005-0000-0000-00006D560000}"/>
    <cellStyle name="Note 2 4 5 3" xfId="17427" xr:uid="{00000000-0005-0000-0000-00006E560000}"/>
    <cellStyle name="Note 2 4 5 3 2" xfId="17428" xr:uid="{00000000-0005-0000-0000-00006F560000}"/>
    <cellStyle name="Note 2 4 5 3 3" xfId="22004" xr:uid="{00000000-0005-0000-0000-000070560000}"/>
    <cellStyle name="Note 2 4 5 4" xfId="17429" xr:uid="{00000000-0005-0000-0000-000071560000}"/>
    <cellStyle name="Note 2 4 5 5" xfId="19418" xr:uid="{00000000-0005-0000-0000-000072560000}"/>
    <cellStyle name="Note 2 4 6" xfId="17430" xr:uid="{00000000-0005-0000-0000-000073560000}"/>
    <cellStyle name="Note 2 4 6 2" xfId="17431" xr:uid="{00000000-0005-0000-0000-000074560000}"/>
    <cellStyle name="Note 2 4 6 2 2" xfId="17432" xr:uid="{00000000-0005-0000-0000-000075560000}"/>
    <cellStyle name="Note 2 4 6 2 3" xfId="22649" xr:uid="{00000000-0005-0000-0000-000076560000}"/>
    <cellStyle name="Note 2 4 6 3" xfId="17433" xr:uid="{00000000-0005-0000-0000-000077560000}"/>
    <cellStyle name="Note 2 4 6 4" xfId="20066" xr:uid="{00000000-0005-0000-0000-000078560000}"/>
    <cellStyle name="Note 2 4 7" xfId="17434" xr:uid="{00000000-0005-0000-0000-000079560000}"/>
    <cellStyle name="Note 2 4 7 2" xfId="17435" xr:uid="{00000000-0005-0000-0000-00007A560000}"/>
    <cellStyle name="Note 2 4 7 3" xfId="21359" xr:uid="{00000000-0005-0000-0000-00007B560000}"/>
    <cellStyle name="Note 2 4 8" xfId="17436" xr:uid="{00000000-0005-0000-0000-00007C560000}"/>
    <cellStyle name="Note 2 4 9" xfId="18745" xr:uid="{00000000-0005-0000-0000-00007D560000}"/>
    <cellStyle name="Note 2 5" xfId="17437" xr:uid="{00000000-0005-0000-0000-00007E560000}"/>
    <cellStyle name="Note 2 5 2" xfId="17438" xr:uid="{00000000-0005-0000-0000-00007F560000}"/>
    <cellStyle name="Note 2 5 2 2" xfId="17439" xr:uid="{00000000-0005-0000-0000-000080560000}"/>
    <cellStyle name="Note 2 5 2 2 2" xfId="17440" xr:uid="{00000000-0005-0000-0000-000081560000}"/>
    <cellStyle name="Note 2 5 2 2 2 2" xfId="17441" xr:uid="{00000000-0005-0000-0000-000082560000}"/>
    <cellStyle name="Note 2 5 2 2 2 2 2" xfId="17442" xr:uid="{00000000-0005-0000-0000-000083560000}"/>
    <cellStyle name="Note 2 5 2 2 2 2 2 2" xfId="17443" xr:uid="{00000000-0005-0000-0000-000084560000}"/>
    <cellStyle name="Note 2 5 2 2 2 2 2 3" xfId="23818" xr:uid="{00000000-0005-0000-0000-000085560000}"/>
    <cellStyle name="Note 2 5 2 2 2 2 3" xfId="17444" xr:uid="{00000000-0005-0000-0000-000086560000}"/>
    <cellStyle name="Note 2 5 2 2 2 2 4" xfId="21235" xr:uid="{00000000-0005-0000-0000-000087560000}"/>
    <cellStyle name="Note 2 5 2 2 2 3" xfId="17445" xr:uid="{00000000-0005-0000-0000-000088560000}"/>
    <cellStyle name="Note 2 5 2 2 2 3 2" xfId="17446" xr:uid="{00000000-0005-0000-0000-000089560000}"/>
    <cellStyle name="Note 2 5 2 2 2 3 3" xfId="22528" xr:uid="{00000000-0005-0000-0000-00008A560000}"/>
    <cellStyle name="Note 2 5 2 2 2 4" xfId="17447" xr:uid="{00000000-0005-0000-0000-00008B560000}"/>
    <cellStyle name="Note 2 5 2 2 2 5" xfId="19941" xr:uid="{00000000-0005-0000-0000-00008C560000}"/>
    <cellStyle name="Note 2 5 2 2 3" xfId="17448" xr:uid="{00000000-0005-0000-0000-00008D560000}"/>
    <cellStyle name="Note 2 5 2 2 3 2" xfId="17449" xr:uid="{00000000-0005-0000-0000-00008E560000}"/>
    <cellStyle name="Note 2 5 2 2 3 2 2" xfId="17450" xr:uid="{00000000-0005-0000-0000-00008F560000}"/>
    <cellStyle name="Note 2 5 2 2 3 2 3" xfId="23173" xr:uid="{00000000-0005-0000-0000-000090560000}"/>
    <cellStyle name="Note 2 5 2 2 3 3" xfId="17451" xr:uid="{00000000-0005-0000-0000-000091560000}"/>
    <cellStyle name="Note 2 5 2 2 3 4" xfId="20590" xr:uid="{00000000-0005-0000-0000-000092560000}"/>
    <cellStyle name="Note 2 5 2 2 4" xfId="17452" xr:uid="{00000000-0005-0000-0000-000093560000}"/>
    <cellStyle name="Note 2 5 2 2 4 2" xfId="17453" xr:uid="{00000000-0005-0000-0000-000094560000}"/>
    <cellStyle name="Note 2 5 2 2 4 3" xfId="21883" xr:uid="{00000000-0005-0000-0000-000095560000}"/>
    <cellStyle name="Note 2 5 2 2 5" xfId="17454" xr:uid="{00000000-0005-0000-0000-000096560000}"/>
    <cellStyle name="Note 2 5 2 2 6" xfId="19293" xr:uid="{00000000-0005-0000-0000-000097560000}"/>
    <cellStyle name="Note 2 5 2 3" xfId="17455" xr:uid="{00000000-0005-0000-0000-000098560000}"/>
    <cellStyle name="Note 2 5 2 3 2" xfId="17456" xr:uid="{00000000-0005-0000-0000-000099560000}"/>
    <cellStyle name="Note 2 5 2 3 2 2" xfId="17457" xr:uid="{00000000-0005-0000-0000-00009A560000}"/>
    <cellStyle name="Note 2 5 2 3 2 2 2" xfId="17458" xr:uid="{00000000-0005-0000-0000-00009B560000}"/>
    <cellStyle name="Note 2 5 2 3 2 2 3" xfId="23496" xr:uid="{00000000-0005-0000-0000-00009C560000}"/>
    <cellStyle name="Note 2 5 2 3 2 3" xfId="17459" xr:uid="{00000000-0005-0000-0000-00009D560000}"/>
    <cellStyle name="Note 2 5 2 3 2 4" xfId="20913" xr:uid="{00000000-0005-0000-0000-00009E560000}"/>
    <cellStyle name="Note 2 5 2 3 3" xfId="17460" xr:uid="{00000000-0005-0000-0000-00009F560000}"/>
    <cellStyle name="Note 2 5 2 3 3 2" xfId="17461" xr:uid="{00000000-0005-0000-0000-0000A0560000}"/>
    <cellStyle name="Note 2 5 2 3 3 3" xfId="22206" xr:uid="{00000000-0005-0000-0000-0000A1560000}"/>
    <cellStyle name="Note 2 5 2 3 4" xfId="17462" xr:uid="{00000000-0005-0000-0000-0000A2560000}"/>
    <cellStyle name="Note 2 5 2 3 5" xfId="19619" xr:uid="{00000000-0005-0000-0000-0000A3560000}"/>
    <cellStyle name="Note 2 5 2 4" xfId="17463" xr:uid="{00000000-0005-0000-0000-0000A4560000}"/>
    <cellStyle name="Note 2 5 2 4 2" xfId="17464" xr:uid="{00000000-0005-0000-0000-0000A5560000}"/>
    <cellStyle name="Note 2 5 2 4 2 2" xfId="17465" xr:uid="{00000000-0005-0000-0000-0000A6560000}"/>
    <cellStyle name="Note 2 5 2 4 2 3" xfId="22851" xr:uid="{00000000-0005-0000-0000-0000A7560000}"/>
    <cellStyle name="Note 2 5 2 4 3" xfId="17466" xr:uid="{00000000-0005-0000-0000-0000A8560000}"/>
    <cellStyle name="Note 2 5 2 4 4" xfId="20268" xr:uid="{00000000-0005-0000-0000-0000A9560000}"/>
    <cellStyle name="Note 2 5 2 5" xfId="17467" xr:uid="{00000000-0005-0000-0000-0000AA560000}"/>
    <cellStyle name="Note 2 5 2 5 2" xfId="17468" xr:uid="{00000000-0005-0000-0000-0000AB560000}"/>
    <cellStyle name="Note 2 5 2 5 3" xfId="21561" xr:uid="{00000000-0005-0000-0000-0000AC560000}"/>
    <cellStyle name="Note 2 5 2 6" xfId="17469" xr:uid="{00000000-0005-0000-0000-0000AD560000}"/>
    <cellStyle name="Note 2 5 2 7" xfId="18967" xr:uid="{00000000-0005-0000-0000-0000AE560000}"/>
    <cellStyle name="Note 2 5 3" xfId="17470" xr:uid="{00000000-0005-0000-0000-0000AF560000}"/>
    <cellStyle name="Note 2 5 3 2" xfId="17471" xr:uid="{00000000-0005-0000-0000-0000B0560000}"/>
    <cellStyle name="Note 2 5 3 2 2" xfId="17472" xr:uid="{00000000-0005-0000-0000-0000B1560000}"/>
    <cellStyle name="Note 2 5 3 2 2 2" xfId="17473" xr:uid="{00000000-0005-0000-0000-0000B2560000}"/>
    <cellStyle name="Note 2 5 3 2 2 2 2" xfId="17474" xr:uid="{00000000-0005-0000-0000-0000B3560000}"/>
    <cellStyle name="Note 2 5 3 2 2 2 3" xfId="23657" xr:uid="{00000000-0005-0000-0000-0000B4560000}"/>
    <cellStyle name="Note 2 5 3 2 2 3" xfId="17475" xr:uid="{00000000-0005-0000-0000-0000B5560000}"/>
    <cellStyle name="Note 2 5 3 2 2 4" xfId="21074" xr:uid="{00000000-0005-0000-0000-0000B6560000}"/>
    <cellStyle name="Note 2 5 3 2 3" xfId="17476" xr:uid="{00000000-0005-0000-0000-0000B7560000}"/>
    <cellStyle name="Note 2 5 3 2 3 2" xfId="17477" xr:uid="{00000000-0005-0000-0000-0000B8560000}"/>
    <cellStyle name="Note 2 5 3 2 3 3" xfId="22367" xr:uid="{00000000-0005-0000-0000-0000B9560000}"/>
    <cellStyle name="Note 2 5 3 2 4" xfId="17478" xr:uid="{00000000-0005-0000-0000-0000BA560000}"/>
    <cellStyle name="Note 2 5 3 2 5" xfId="19780" xr:uid="{00000000-0005-0000-0000-0000BB560000}"/>
    <cellStyle name="Note 2 5 3 3" xfId="17479" xr:uid="{00000000-0005-0000-0000-0000BC560000}"/>
    <cellStyle name="Note 2 5 3 3 2" xfId="17480" xr:uid="{00000000-0005-0000-0000-0000BD560000}"/>
    <cellStyle name="Note 2 5 3 3 2 2" xfId="17481" xr:uid="{00000000-0005-0000-0000-0000BE560000}"/>
    <cellStyle name="Note 2 5 3 3 2 3" xfId="23012" xr:uid="{00000000-0005-0000-0000-0000BF560000}"/>
    <cellStyle name="Note 2 5 3 3 3" xfId="17482" xr:uid="{00000000-0005-0000-0000-0000C0560000}"/>
    <cellStyle name="Note 2 5 3 3 4" xfId="20429" xr:uid="{00000000-0005-0000-0000-0000C1560000}"/>
    <cellStyle name="Note 2 5 3 4" xfId="17483" xr:uid="{00000000-0005-0000-0000-0000C2560000}"/>
    <cellStyle name="Note 2 5 3 4 2" xfId="17484" xr:uid="{00000000-0005-0000-0000-0000C3560000}"/>
    <cellStyle name="Note 2 5 3 4 3" xfId="21722" xr:uid="{00000000-0005-0000-0000-0000C4560000}"/>
    <cellStyle name="Note 2 5 3 5" xfId="17485" xr:uid="{00000000-0005-0000-0000-0000C5560000}"/>
    <cellStyle name="Note 2 5 3 6" xfId="19132" xr:uid="{00000000-0005-0000-0000-0000C6560000}"/>
    <cellStyle name="Note 2 5 4" xfId="17486" xr:uid="{00000000-0005-0000-0000-0000C7560000}"/>
    <cellStyle name="Note 2 5 4 2" xfId="17487" xr:uid="{00000000-0005-0000-0000-0000C8560000}"/>
    <cellStyle name="Note 2 5 4 2 2" xfId="17488" xr:uid="{00000000-0005-0000-0000-0000C9560000}"/>
    <cellStyle name="Note 2 5 4 2 2 2" xfId="17489" xr:uid="{00000000-0005-0000-0000-0000CA560000}"/>
    <cellStyle name="Note 2 5 4 2 2 3" xfId="23335" xr:uid="{00000000-0005-0000-0000-0000CB560000}"/>
    <cellStyle name="Note 2 5 4 2 3" xfId="17490" xr:uid="{00000000-0005-0000-0000-0000CC560000}"/>
    <cellStyle name="Note 2 5 4 2 4" xfId="20752" xr:uid="{00000000-0005-0000-0000-0000CD560000}"/>
    <cellStyle name="Note 2 5 4 3" xfId="17491" xr:uid="{00000000-0005-0000-0000-0000CE560000}"/>
    <cellStyle name="Note 2 5 4 3 2" xfId="17492" xr:uid="{00000000-0005-0000-0000-0000CF560000}"/>
    <cellStyle name="Note 2 5 4 3 3" xfId="22045" xr:uid="{00000000-0005-0000-0000-0000D0560000}"/>
    <cellStyle name="Note 2 5 4 4" xfId="17493" xr:uid="{00000000-0005-0000-0000-0000D1560000}"/>
    <cellStyle name="Note 2 5 4 5" xfId="19458" xr:uid="{00000000-0005-0000-0000-0000D2560000}"/>
    <cellStyle name="Note 2 5 5" xfId="17494" xr:uid="{00000000-0005-0000-0000-0000D3560000}"/>
    <cellStyle name="Note 2 5 5 2" xfId="17495" xr:uid="{00000000-0005-0000-0000-0000D4560000}"/>
    <cellStyle name="Note 2 5 5 2 2" xfId="17496" xr:uid="{00000000-0005-0000-0000-0000D5560000}"/>
    <cellStyle name="Note 2 5 5 2 3" xfId="22690" xr:uid="{00000000-0005-0000-0000-0000D6560000}"/>
    <cellStyle name="Note 2 5 5 3" xfId="17497" xr:uid="{00000000-0005-0000-0000-0000D7560000}"/>
    <cellStyle name="Note 2 5 5 4" xfId="20107" xr:uid="{00000000-0005-0000-0000-0000D8560000}"/>
    <cellStyle name="Note 2 5 6" xfId="17498" xr:uid="{00000000-0005-0000-0000-0000D9560000}"/>
    <cellStyle name="Note 2 5 6 2" xfId="17499" xr:uid="{00000000-0005-0000-0000-0000DA560000}"/>
    <cellStyle name="Note 2 5 6 3" xfId="21400" xr:uid="{00000000-0005-0000-0000-0000DB560000}"/>
    <cellStyle name="Note 2 5 7" xfId="17500" xr:uid="{00000000-0005-0000-0000-0000DC560000}"/>
    <cellStyle name="Note 2 5 8" xfId="18795" xr:uid="{00000000-0005-0000-0000-0000DD560000}"/>
    <cellStyle name="Note 2 6" xfId="17501" xr:uid="{00000000-0005-0000-0000-0000DE560000}"/>
    <cellStyle name="Note 2 6 2" xfId="17502" xr:uid="{00000000-0005-0000-0000-0000DF560000}"/>
    <cellStyle name="Note 2 6 2 2" xfId="17503" xr:uid="{00000000-0005-0000-0000-0000E0560000}"/>
    <cellStyle name="Note 2 6 2 2 2" xfId="17504" xr:uid="{00000000-0005-0000-0000-0000E1560000}"/>
    <cellStyle name="Note 2 6 2 2 2 2" xfId="17505" xr:uid="{00000000-0005-0000-0000-0000E2560000}"/>
    <cellStyle name="Note 2 6 2 2 2 2 2" xfId="17506" xr:uid="{00000000-0005-0000-0000-0000E3560000}"/>
    <cellStyle name="Note 2 6 2 2 2 2 3" xfId="23738" xr:uid="{00000000-0005-0000-0000-0000E4560000}"/>
    <cellStyle name="Note 2 6 2 2 2 3" xfId="17507" xr:uid="{00000000-0005-0000-0000-0000E5560000}"/>
    <cellStyle name="Note 2 6 2 2 2 4" xfId="21155" xr:uid="{00000000-0005-0000-0000-0000E6560000}"/>
    <cellStyle name="Note 2 6 2 2 3" xfId="17508" xr:uid="{00000000-0005-0000-0000-0000E7560000}"/>
    <cellStyle name="Note 2 6 2 2 3 2" xfId="17509" xr:uid="{00000000-0005-0000-0000-0000E8560000}"/>
    <cellStyle name="Note 2 6 2 2 3 3" xfId="22448" xr:uid="{00000000-0005-0000-0000-0000E9560000}"/>
    <cellStyle name="Note 2 6 2 2 4" xfId="17510" xr:uid="{00000000-0005-0000-0000-0000EA560000}"/>
    <cellStyle name="Note 2 6 2 2 5" xfId="19861" xr:uid="{00000000-0005-0000-0000-0000EB560000}"/>
    <cellStyle name="Note 2 6 2 3" xfId="17511" xr:uid="{00000000-0005-0000-0000-0000EC560000}"/>
    <cellStyle name="Note 2 6 2 3 2" xfId="17512" xr:uid="{00000000-0005-0000-0000-0000ED560000}"/>
    <cellStyle name="Note 2 6 2 3 2 2" xfId="17513" xr:uid="{00000000-0005-0000-0000-0000EE560000}"/>
    <cellStyle name="Note 2 6 2 3 2 3" xfId="23093" xr:uid="{00000000-0005-0000-0000-0000EF560000}"/>
    <cellStyle name="Note 2 6 2 3 3" xfId="17514" xr:uid="{00000000-0005-0000-0000-0000F0560000}"/>
    <cellStyle name="Note 2 6 2 3 4" xfId="20510" xr:uid="{00000000-0005-0000-0000-0000F1560000}"/>
    <cellStyle name="Note 2 6 2 4" xfId="17515" xr:uid="{00000000-0005-0000-0000-0000F2560000}"/>
    <cellStyle name="Note 2 6 2 4 2" xfId="17516" xr:uid="{00000000-0005-0000-0000-0000F3560000}"/>
    <cellStyle name="Note 2 6 2 4 3" xfId="21803" xr:uid="{00000000-0005-0000-0000-0000F4560000}"/>
    <cellStyle name="Note 2 6 2 5" xfId="17517" xr:uid="{00000000-0005-0000-0000-0000F5560000}"/>
    <cellStyle name="Note 2 6 2 6" xfId="19213" xr:uid="{00000000-0005-0000-0000-0000F6560000}"/>
    <cellStyle name="Note 2 6 3" xfId="17518" xr:uid="{00000000-0005-0000-0000-0000F7560000}"/>
    <cellStyle name="Note 2 6 3 2" xfId="17519" xr:uid="{00000000-0005-0000-0000-0000F8560000}"/>
    <cellStyle name="Note 2 6 3 2 2" xfId="17520" xr:uid="{00000000-0005-0000-0000-0000F9560000}"/>
    <cellStyle name="Note 2 6 3 2 2 2" xfId="17521" xr:uid="{00000000-0005-0000-0000-0000FA560000}"/>
    <cellStyle name="Note 2 6 3 2 2 3" xfId="23416" xr:uid="{00000000-0005-0000-0000-0000FB560000}"/>
    <cellStyle name="Note 2 6 3 2 3" xfId="17522" xr:uid="{00000000-0005-0000-0000-0000FC560000}"/>
    <cellStyle name="Note 2 6 3 2 4" xfId="20833" xr:uid="{00000000-0005-0000-0000-0000FD560000}"/>
    <cellStyle name="Note 2 6 3 3" xfId="17523" xr:uid="{00000000-0005-0000-0000-0000FE560000}"/>
    <cellStyle name="Note 2 6 3 3 2" xfId="17524" xr:uid="{00000000-0005-0000-0000-0000FF560000}"/>
    <cellStyle name="Note 2 6 3 3 3" xfId="22126" xr:uid="{00000000-0005-0000-0000-000000570000}"/>
    <cellStyle name="Note 2 6 3 4" xfId="17525" xr:uid="{00000000-0005-0000-0000-000001570000}"/>
    <cellStyle name="Note 2 6 3 5" xfId="19539" xr:uid="{00000000-0005-0000-0000-000002570000}"/>
    <cellStyle name="Note 2 6 4" xfId="17526" xr:uid="{00000000-0005-0000-0000-000003570000}"/>
    <cellStyle name="Note 2 6 4 2" xfId="17527" xr:uid="{00000000-0005-0000-0000-000004570000}"/>
    <cellStyle name="Note 2 6 4 2 2" xfId="17528" xr:uid="{00000000-0005-0000-0000-000005570000}"/>
    <cellStyle name="Note 2 6 4 2 3" xfId="22771" xr:uid="{00000000-0005-0000-0000-000006570000}"/>
    <cellStyle name="Note 2 6 4 3" xfId="17529" xr:uid="{00000000-0005-0000-0000-000007570000}"/>
    <cellStyle name="Note 2 6 4 4" xfId="20188" xr:uid="{00000000-0005-0000-0000-000008570000}"/>
    <cellStyle name="Note 2 6 5" xfId="17530" xr:uid="{00000000-0005-0000-0000-000009570000}"/>
    <cellStyle name="Note 2 6 5 2" xfId="17531" xr:uid="{00000000-0005-0000-0000-00000A570000}"/>
    <cellStyle name="Note 2 6 5 3" xfId="21481" xr:uid="{00000000-0005-0000-0000-00000B570000}"/>
    <cellStyle name="Note 2 6 6" xfId="17532" xr:uid="{00000000-0005-0000-0000-00000C570000}"/>
    <cellStyle name="Note 2 6 7" xfId="18887" xr:uid="{00000000-0005-0000-0000-00000D570000}"/>
    <cellStyle name="Note 2 7" xfId="17533" xr:uid="{00000000-0005-0000-0000-00000E570000}"/>
    <cellStyle name="Note 2 7 2" xfId="17534" xr:uid="{00000000-0005-0000-0000-00000F570000}"/>
    <cellStyle name="Note 2 7 2 2" xfId="17535" xr:uid="{00000000-0005-0000-0000-000010570000}"/>
    <cellStyle name="Note 2 7 2 2 2" xfId="17536" xr:uid="{00000000-0005-0000-0000-000011570000}"/>
    <cellStyle name="Note 2 7 2 2 2 2" xfId="17537" xr:uid="{00000000-0005-0000-0000-000012570000}"/>
    <cellStyle name="Note 2 7 2 2 2 3" xfId="23577" xr:uid="{00000000-0005-0000-0000-000013570000}"/>
    <cellStyle name="Note 2 7 2 2 3" xfId="17538" xr:uid="{00000000-0005-0000-0000-000014570000}"/>
    <cellStyle name="Note 2 7 2 2 4" xfId="20994" xr:uid="{00000000-0005-0000-0000-000015570000}"/>
    <cellStyle name="Note 2 7 2 3" xfId="17539" xr:uid="{00000000-0005-0000-0000-000016570000}"/>
    <cellStyle name="Note 2 7 2 3 2" xfId="17540" xr:uid="{00000000-0005-0000-0000-000017570000}"/>
    <cellStyle name="Note 2 7 2 3 3" xfId="22287" xr:uid="{00000000-0005-0000-0000-000018570000}"/>
    <cellStyle name="Note 2 7 2 4" xfId="17541" xr:uid="{00000000-0005-0000-0000-000019570000}"/>
    <cellStyle name="Note 2 7 2 5" xfId="19700" xr:uid="{00000000-0005-0000-0000-00001A570000}"/>
    <cellStyle name="Note 2 7 3" xfId="17542" xr:uid="{00000000-0005-0000-0000-00001B570000}"/>
    <cellStyle name="Note 2 7 3 2" xfId="17543" xr:uid="{00000000-0005-0000-0000-00001C570000}"/>
    <cellStyle name="Note 2 7 3 2 2" xfId="17544" xr:uid="{00000000-0005-0000-0000-00001D570000}"/>
    <cellStyle name="Note 2 7 3 2 3" xfId="22932" xr:uid="{00000000-0005-0000-0000-00001E570000}"/>
    <cellStyle name="Note 2 7 3 3" xfId="17545" xr:uid="{00000000-0005-0000-0000-00001F570000}"/>
    <cellStyle name="Note 2 7 3 4" xfId="20349" xr:uid="{00000000-0005-0000-0000-000020570000}"/>
    <cellStyle name="Note 2 7 4" xfId="17546" xr:uid="{00000000-0005-0000-0000-000021570000}"/>
    <cellStyle name="Note 2 7 4 2" xfId="17547" xr:uid="{00000000-0005-0000-0000-000022570000}"/>
    <cellStyle name="Note 2 7 4 3" xfId="21642" xr:uid="{00000000-0005-0000-0000-000023570000}"/>
    <cellStyle name="Note 2 7 5" xfId="17548" xr:uid="{00000000-0005-0000-0000-000024570000}"/>
    <cellStyle name="Note 2 7 6" xfId="19052" xr:uid="{00000000-0005-0000-0000-000025570000}"/>
    <cellStyle name="Note 2 8" xfId="17549" xr:uid="{00000000-0005-0000-0000-000026570000}"/>
    <cellStyle name="Note 2 8 2" xfId="17550" xr:uid="{00000000-0005-0000-0000-000027570000}"/>
    <cellStyle name="Note 2 8 2 2" xfId="17551" xr:uid="{00000000-0005-0000-0000-000028570000}"/>
    <cellStyle name="Note 2 8 2 2 2" xfId="17552" xr:uid="{00000000-0005-0000-0000-000029570000}"/>
    <cellStyle name="Note 2 8 2 2 3" xfId="23254" xr:uid="{00000000-0005-0000-0000-00002A570000}"/>
    <cellStyle name="Note 2 8 2 3" xfId="17553" xr:uid="{00000000-0005-0000-0000-00002B570000}"/>
    <cellStyle name="Note 2 8 2 4" xfId="20671" xr:uid="{00000000-0005-0000-0000-00002C570000}"/>
    <cellStyle name="Note 2 8 3" xfId="17554" xr:uid="{00000000-0005-0000-0000-00002D570000}"/>
    <cellStyle name="Note 2 8 3 2" xfId="17555" xr:uid="{00000000-0005-0000-0000-00002E570000}"/>
    <cellStyle name="Note 2 8 3 3" xfId="21964" xr:uid="{00000000-0005-0000-0000-00002F570000}"/>
    <cellStyle name="Note 2 8 4" xfId="17556" xr:uid="{00000000-0005-0000-0000-000030570000}"/>
    <cellStyle name="Note 2 8 5" xfId="19378" xr:uid="{00000000-0005-0000-0000-000031570000}"/>
    <cellStyle name="Note 2 9" xfId="17557" xr:uid="{00000000-0005-0000-0000-000032570000}"/>
    <cellStyle name="Note 2 9 2" xfId="17558" xr:uid="{00000000-0005-0000-0000-000033570000}"/>
    <cellStyle name="Note 2 9 2 2" xfId="17559" xr:uid="{00000000-0005-0000-0000-000034570000}"/>
    <cellStyle name="Note 2 9 2 3" xfId="22609" xr:uid="{00000000-0005-0000-0000-000035570000}"/>
    <cellStyle name="Note 2 9 3" xfId="17560" xr:uid="{00000000-0005-0000-0000-000036570000}"/>
    <cellStyle name="Note 2 9 4" xfId="20026" xr:uid="{00000000-0005-0000-0000-000037570000}"/>
    <cellStyle name="Note 3" xfId="17561" xr:uid="{00000000-0005-0000-0000-000038570000}"/>
    <cellStyle name="Note 3 10" xfId="17562" xr:uid="{00000000-0005-0000-0000-000039570000}"/>
    <cellStyle name="Note 3 11" xfId="18702" xr:uid="{00000000-0005-0000-0000-00003A570000}"/>
    <cellStyle name="Note 3 2" xfId="17563" xr:uid="{00000000-0005-0000-0000-00003B570000}"/>
    <cellStyle name="Note 3 2 10" xfId="18722" xr:uid="{00000000-0005-0000-0000-00003C570000}"/>
    <cellStyle name="Note 3 2 2" xfId="17564" xr:uid="{00000000-0005-0000-0000-00003D570000}"/>
    <cellStyle name="Note 3 2 2 2" xfId="17565" xr:uid="{00000000-0005-0000-0000-00003E570000}"/>
    <cellStyle name="Note 3 2 2 2 2" xfId="17566" xr:uid="{00000000-0005-0000-0000-00003F570000}"/>
    <cellStyle name="Note 3 2 2 2 2 2" xfId="17567" xr:uid="{00000000-0005-0000-0000-000040570000}"/>
    <cellStyle name="Note 3 2 2 2 2 2 2" xfId="17568" xr:uid="{00000000-0005-0000-0000-000041570000}"/>
    <cellStyle name="Note 3 2 2 2 2 2 2 2" xfId="17569" xr:uid="{00000000-0005-0000-0000-000042570000}"/>
    <cellStyle name="Note 3 2 2 2 2 2 2 2 2" xfId="17570" xr:uid="{00000000-0005-0000-0000-000043570000}"/>
    <cellStyle name="Note 3 2 2 2 2 2 2 2 2 2" xfId="17571" xr:uid="{00000000-0005-0000-0000-000044570000}"/>
    <cellStyle name="Note 3 2 2 2 2 2 2 2 2 3" xfId="23879" xr:uid="{00000000-0005-0000-0000-000045570000}"/>
    <cellStyle name="Note 3 2 2 2 2 2 2 2 3" xfId="17572" xr:uid="{00000000-0005-0000-0000-000046570000}"/>
    <cellStyle name="Note 3 2 2 2 2 2 2 2 4" xfId="21296" xr:uid="{00000000-0005-0000-0000-000047570000}"/>
    <cellStyle name="Note 3 2 2 2 2 2 2 3" xfId="17573" xr:uid="{00000000-0005-0000-0000-000048570000}"/>
    <cellStyle name="Note 3 2 2 2 2 2 2 3 2" xfId="17574" xr:uid="{00000000-0005-0000-0000-000049570000}"/>
    <cellStyle name="Note 3 2 2 2 2 2 2 3 3" xfId="22589" xr:uid="{00000000-0005-0000-0000-00004A570000}"/>
    <cellStyle name="Note 3 2 2 2 2 2 2 4" xfId="17575" xr:uid="{00000000-0005-0000-0000-00004B570000}"/>
    <cellStyle name="Note 3 2 2 2 2 2 2 5" xfId="20002" xr:uid="{00000000-0005-0000-0000-00004C570000}"/>
    <cellStyle name="Note 3 2 2 2 2 2 3" xfId="17576" xr:uid="{00000000-0005-0000-0000-00004D570000}"/>
    <cellStyle name="Note 3 2 2 2 2 2 3 2" xfId="17577" xr:uid="{00000000-0005-0000-0000-00004E570000}"/>
    <cellStyle name="Note 3 2 2 2 2 2 3 2 2" xfId="17578" xr:uid="{00000000-0005-0000-0000-00004F570000}"/>
    <cellStyle name="Note 3 2 2 2 2 2 3 2 3" xfId="23234" xr:uid="{00000000-0005-0000-0000-000050570000}"/>
    <cellStyle name="Note 3 2 2 2 2 2 3 3" xfId="17579" xr:uid="{00000000-0005-0000-0000-000051570000}"/>
    <cellStyle name="Note 3 2 2 2 2 2 3 4" xfId="20651" xr:uid="{00000000-0005-0000-0000-000052570000}"/>
    <cellStyle name="Note 3 2 2 2 2 2 4" xfId="17580" xr:uid="{00000000-0005-0000-0000-000053570000}"/>
    <cellStyle name="Note 3 2 2 2 2 2 4 2" xfId="17581" xr:uid="{00000000-0005-0000-0000-000054570000}"/>
    <cellStyle name="Note 3 2 2 2 2 2 4 3" xfId="21944" xr:uid="{00000000-0005-0000-0000-000055570000}"/>
    <cellStyle name="Note 3 2 2 2 2 2 5" xfId="17582" xr:uid="{00000000-0005-0000-0000-000056570000}"/>
    <cellStyle name="Note 3 2 2 2 2 2 6" xfId="19354" xr:uid="{00000000-0005-0000-0000-000057570000}"/>
    <cellStyle name="Note 3 2 2 2 2 3" xfId="17583" xr:uid="{00000000-0005-0000-0000-000058570000}"/>
    <cellStyle name="Note 3 2 2 2 2 3 2" xfId="17584" xr:uid="{00000000-0005-0000-0000-000059570000}"/>
    <cellStyle name="Note 3 2 2 2 2 3 2 2" xfId="17585" xr:uid="{00000000-0005-0000-0000-00005A570000}"/>
    <cellStyle name="Note 3 2 2 2 2 3 2 2 2" xfId="17586" xr:uid="{00000000-0005-0000-0000-00005B570000}"/>
    <cellStyle name="Note 3 2 2 2 2 3 2 2 3" xfId="23557" xr:uid="{00000000-0005-0000-0000-00005C570000}"/>
    <cellStyle name="Note 3 2 2 2 2 3 2 3" xfId="17587" xr:uid="{00000000-0005-0000-0000-00005D570000}"/>
    <cellStyle name="Note 3 2 2 2 2 3 2 4" xfId="20974" xr:uid="{00000000-0005-0000-0000-00005E570000}"/>
    <cellStyle name="Note 3 2 2 2 2 3 3" xfId="17588" xr:uid="{00000000-0005-0000-0000-00005F570000}"/>
    <cellStyle name="Note 3 2 2 2 2 3 3 2" xfId="17589" xr:uid="{00000000-0005-0000-0000-000060570000}"/>
    <cellStyle name="Note 3 2 2 2 2 3 3 3" xfId="22267" xr:uid="{00000000-0005-0000-0000-000061570000}"/>
    <cellStyle name="Note 3 2 2 2 2 3 4" xfId="17590" xr:uid="{00000000-0005-0000-0000-000062570000}"/>
    <cellStyle name="Note 3 2 2 2 2 3 5" xfId="19680" xr:uid="{00000000-0005-0000-0000-000063570000}"/>
    <cellStyle name="Note 3 2 2 2 2 4" xfId="17591" xr:uid="{00000000-0005-0000-0000-000064570000}"/>
    <cellStyle name="Note 3 2 2 2 2 4 2" xfId="17592" xr:uid="{00000000-0005-0000-0000-000065570000}"/>
    <cellStyle name="Note 3 2 2 2 2 4 2 2" xfId="17593" xr:uid="{00000000-0005-0000-0000-000066570000}"/>
    <cellStyle name="Note 3 2 2 2 2 4 2 3" xfId="22912" xr:uid="{00000000-0005-0000-0000-000067570000}"/>
    <cellStyle name="Note 3 2 2 2 2 4 3" xfId="17594" xr:uid="{00000000-0005-0000-0000-000068570000}"/>
    <cellStyle name="Note 3 2 2 2 2 4 4" xfId="20329" xr:uid="{00000000-0005-0000-0000-000069570000}"/>
    <cellStyle name="Note 3 2 2 2 2 5" xfId="17595" xr:uid="{00000000-0005-0000-0000-00006A570000}"/>
    <cellStyle name="Note 3 2 2 2 2 5 2" xfId="17596" xr:uid="{00000000-0005-0000-0000-00006B570000}"/>
    <cellStyle name="Note 3 2 2 2 2 5 3" xfId="21622" xr:uid="{00000000-0005-0000-0000-00006C570000}"/>
    <cellStyle name="Note 3 2 2 2 2 6" xfId="17597" xr:uid="{00000000-0005-0000-0000-00006D570000}"/>
    <cellStyle name="Note 3 2 2 2 2 7" xfId="19028" xr:uid="{00000000-0005-0000-0000-00006E570000}"/>
    <cellStyle name="Note 3 2 2 2 3" xfId="17598" xr:uid="{00000000-0005-0000-0000-00006F570000}"/>
    <cellStyle name="Note 3 2 2 2 3 2" xfId="17599" xr:uid="{00000000-0005-0000-0000-000070570000}"/>
    <cellStyle name="Note 3 2 2 2 3 2 2" xfId="17600" xr:uid="{00000000-0005-0000-0000-000071570000}"/>
    <cellStyle name="Note 3 2 2 2 3 2 2 2" xfId="17601" xr:uid="{00000000-0005-0000-0000-000072570000}"/>
    <cellStyle name="Note 3 2 2 2 3 2 2 2 2" xfId="17602" xr:uid="{00000000-0005-0000-0000-000073570000}"/>
    <cellStyle name="Note 3 2 2 2 3 2 2 2 3" xfId="23718" xr:uid="{00000000-0005-0000-0000-000074570000}"/>
    <cellStyle name="Note 3 2 2 2 3 2 2 3" xfId="17603" xr:uid="{00000000-0005-0000-0000-000075570000}"/>
    <cellStyle name="Note 3 2 2 2 3 2 2 4" xfId="21135" xr:uid="{00000000-0005-0000-0000-000076570000}"/>
    <cellStyle name="Note 3 2 2 2 3 2 3" xfId="17604" xr:uid="{00000000-0005-0000-0000-000077570000}"/>
    <cellStyle name="Note 3 2 2 2 3 2 3 2" xfId="17605" xr:uid="{00000000-0005-0000-0000-000078570000}"/>
    <cellStyle name="Note 3 2 2 2 3 2 3 3" xfId="22428" xr:uid="{00000000-0005-0000-0000-000079570000}"/>
    <cellStyle name="Note 3 2 2 2 3 2 4" xfId="17606" xr:uid="{00000000-0005-0000-0000-00007A570000}"/>
    <cellStyle name="Note 3 2 2 2 3 2 5" xfId="19841" xr:uid="{00000000-0005-0000-0000-00007B570000}"/>
    <cellStyle name="Note 3 2 2 2 3 3" xfId="17607" xr:uid="{00000000-0005-0000-0000-00007C570000}"/>
    <cellStyle name="Note 3 2 2 2 3 3 2" xfId="17608" xr:uid="{00000000-0005-0000-0000-00007D570000}"/>
    <cellStyle name="Note 3 2 2 2 3 3 2 2" xfId="17609" xr:uid="{00000000-0005-0000-0000-00007E570000}"/>
    <cellStyle name="Note 3 2 2 2 3 3 2 3" xfId="23073" xr:uid="{00000000-0005-0000-0000-00007F570000}"/>
    <cellStyle name="Note 3 2 2 2 3 3 3" xfId="17610" xr:uid="{00000000-0005-0000-0000-000080570000}"/>
    <cellStyle name="Note 3 2 2 2 3 3 4" xfId="20490" xr:uid="{00000000-0005-0000-0000-000081570000}"/>
    <cellStyle name="Note 3 2 2 2 3 4" xfId="17611" xr:uid="{00000000-0005-0000-0000-000082570000}"/>
    <cellStyle name="Note 3 2 2 2 3 4 2" xfId="17612" xr:uid="{00000000-0005-0000-0000-000083570000}"/>
    <cellStyle name="Note 3 2 2 2 3 4 3" xfId="21783" xr:uid="{00000000-0005-0000-0000-000084570000}"/>
    <cellStyle name="Note 3 2 2 2 3 5" xfId="17613" xr:uid="{00000000-0005-0000-0000-000085570000}"/>
    <cellStyle name="Note 3 2 2 2 3 6" xfId="19193" xr:uid="{00000000-0005-0000-0000-000086570000}"/>
    <cellStyle name="Note 3 2 2 2 4" xfId="17614" xr:uid="{00000000-0005-0000-0000-000087570000}"/>
    <cellStyle name="Note 3 2 2 2 4 2" xfId="17615" xr:uid="{00000000-0005-0000-0000-000088570000}"/>
    <cellStyle name="Note 3 2 2 2 4 2 2" xfId="17616" xr:uid="{00000000-0005-0000-0000-000089570000}"/>
    <cellStyle name="Note 3 2 2 2 4 2 2 2" xfId="17617" xr:uid="{00000000-0005-0000-0000-00008A570000}"/>
    <cellStyle name="Note 3 2 2 2 4 2 2 3" xfId="23396" xr:uid="{00000000-0005-0000-0000-00008B570000}"/>
    <cellStyle name="Note 3 2 2 2 4 2 3" xfId="17618" xr:uid="{00000000-0005-0000-0000-00008C570000}"/>
    <cellStyle name="Note 3 2 2 2 4 2 4" xfId="20813" xr:uid="{00000000-0005-0000-0000-00008D570000}"/>
    <cellStyle name="Note 3 2 2 2 4 3" xfId="17619" xr:uid="{00000000-0005-0000-0000-00008E570000}"/>
    <cellStyle name="Note 3 2 2 2 4 3 2" xfId="17620" xr:uid="{00000000-0005-0000-0000-00008F570000}"/>
    <cellStyle name="Note 3 2 2 2 4 3 3" xfId="22106" xr:uid="{00000000-0005-0000-0000-000090570000}"/>
    <cellStyle name="Note 3 2 2 2 4 4" xfId="17621" xr:uid="{00000000-0005-0000-0000-000091570000}"/>
    <cellStyle name="Note 3 2 2 2 4 5" xfId="19519" xr:uid="{00000000-0005-0000-0000-000092570000}"/>
    <cellStyle name="Note 3 2 2 2 5" xfId="17622" xr:uid="{00000000-0005-0000-0000-000093570000}"/>
    <cellStyle name="Note 3 2 2 2 5 2" xfId="17623" xr:uid="{00000000-0005-0000-0000-000094570000}"/>
    <cellStyle name="Note 3 2 2 2 5 2 2" xfId="17624" xr:uid="{00000000-0005-0000-0000-000095570000}"/>
    <cellStyle name="Note 3 2 2 2 5 2 3" xfId="22751" xr:uid="{00000000-0005-0000-0000-000096570000}"/>
    <cellStyle name="Note 3 2 2 2 5 3" xfId="17625" xr:uid="{00000000-0005-0000-0000-000097570000}"/>
    <cellStyle name="Note 3 2 2 2 5 4" xfId="20168" xr:uid="{00000000-0005-0000-0000-000098570000}"/>
    <cellStyle name="Note 3 2 2 2 6" xfId="17626" xr:uid="{00000000-0005-0000-0000-000099570000}"/>
    <cellStyle name="Note 3 2 2 2 6 2" xfId="17627" xr:uid="{00000000-0005-0000-0000-00009A570000}"/>
    <cellStyle name="Note 3 2 2 2 6 3" xfId="21461" xr:uid="{00000000-0005-0000-0000-00009B570000}"/>
    <cellStyle name="Note 3 2 2 2 7" xfId="17628" xr:uid="{00000000-0005-0000-0000-00009C570000}"/>
    <cellStyle name="Note 3 2 2 2 8" xfId="18863" xr:uid="{00000000-0005-0000-0000-00009D570000}"/>
    <cellStyle name="Note 3 2 2 3" xfId="17629" xr:uid="{00000000-0005-0000-0000-00009E570000}"/>
    <cellStyle name="Note 3 2 2 3 2" xfId="17630" xr:uid="{00000000-0005-0000-0000-00009F570000}"/>
    <cellStyle name="Note 3 2 2 3 2 2" xfId="17631" xr:uid="{00000000-0005-0000-0000-0000A0570000}"/>
    <cellStyle name="Note 3 2 2 3 2 2 2" xfId="17632" xr:uid="{00000000-0005-0000-0000-0000A1570000}"/>
    <cellStyle name="Note 3 2 2 3 2 2 2 2" xfId="17633" xr:uid="{00000000-0005-0000-0000-0000A2570000}"/>
    <cellStyle name="Note 3 2 2 3 2 2 2 2 2" xfId="17634" xr:uid="{00000000-0005-0000-0000-0000A3570000}"/>
    <cellStyle name="Note 3 2 2 3 2 2 2 2 3" xfId="23799" xr:uid="{00000000-0005-0000-0000-0000A4570000}"/>
    <cellStyle name="Note 3 2 2 3 2 2 2 3" xfId="17635" xr:uid="{00000000-0005-0000-0000-0000A5570000}"/>
    <cellStyle name="Note 3 2 2 3 2 2 2 4" xfId="21216" xr:uid="{00000000-0005-0000-0000-0000A6570000}"/>
    <cellStyle name="Note 3 2 2 3 2 2 3" xfId="17636" xr:uid="{00000000-0005-0000-0000-0000A7570000}"/>
    <cellStyle name="Note 3 2 2 3 2 2 3 2" xfId="17637" xr:uid="{00000000-0005-0000-0000-0000A8570000}"/>
    <cellStyle name="Note 3 2 2 3 2 2 3 3" xfId="22509" xr:uid="{00000000-0005-0000-0000-0000A9570000}"/>
    <cellStyle name="Note 3 2 2 3 2 2 4" xfId="17638" xr:uid="{00000000-0005-0000-0000-0000AA570000}"/>
    <cellStyle name="Note 3 2 2 3 2 2 5" xfId="19922" xr:uid="{00000000-0005-0000-0000-0000AB570000}"/>
    <cellStyle name="Note 3 2 2 3 2 3" xfId="17639" xr:uid="{00000000-0005-0000-0000-0000AC570000}"/>
    <cellStyle name="Note 3 2 2 3 2 3 2" xfId="17640" xr:uid="{00000000-0005-0000-0000-0000AD570000}"/>
    <cellStyle name="Note 3 2 2 3 2 3 2 2" xfId="17641" xr:uid="{00000000-0005-0000-0000-0000AE570000}"/>
    <cellStyle name="Note 3 2 2 3 2 3 2 3" xfId="23154" xr:uid="{00000000-0005-0000-0000-0000AF570000}"/>
    <cellStyle name="Note 3 2 2 3 2 3 3" xfId="17642" xr:uid="{00000000-0005-0000-0000-0000B0570000}"/>
    <cellStyle name="Note 3 2 2 3 2 3 4" xfId="20571" xr:uid="{00000000-0005-0000-0000-0000B1570000}"/>
    <cellStyle name="Note 3 2 2 3 2 4" xfId="17643" xr:uid="{00000000-0005-0000-0000-0000B2570000}"/>
    <cellStyle name="Note 3 2 2 3 2 4 2" xfId="17644" xr:uid="{00000000-0005-0000-0000-0000B3570000}"/>
    <cellStyle name="Note 3 2 2 3 2 4 3" xfId="21864" xr:uid="{00000000-0005-0000-0000-0000B4570000}"/>
    <cellStyle name="Note 3 2 2 3 2 5" xfId="17645" xr:uid="{00000000-0005-0000-0000-0000B5570000}"/>
    <cellStyle name="Note 3 2 2 3 2 6" xfId="19274" xr:uid="{00000000-0005-0000-0000-0000B6570000}"/>
    <cellStyle name="Note 3 2 2 3 3" xfId="17646" xr:uid="{00000000-0005-0000-0000-0000B7570000}"/>
    <cellStyle name="Note 3 2 2 3 3 2" xfId="17647" xr:uid="{00000000-0005-0000-0000-0000B8570000}"/>
    <cellStyle name="Note 3 2 2 3 3 2 2" xfId="17648" xr:uid="{00000000-0005-0000-0000-0000B9570000}"/>
    <cellStyle name="Note 3 2 2 3 3 2 2 2" xfId="17649" xr:uid="{00000000-0005-0000-0000-0000BA570000}"/>
    <cellStyle name="Note 3 2 2 3 3 2 2 3" xfId="23477" xr:uid="{00000000-0005-0000-0000-0000BB570000}"/>
    <cellStyle name="Note 3 2 2 3 3 2 3" xfId="17650" xr:uid="{00000000-0005-0000-0000-0000BC570000}"/>
    <cellStyle name="Note 3 2 2 3 3 2 4" xfId="20894" xr:uid="{00000000-0005-0000-0000-0000BD570000}"/>
    <cellStyle name="Note 3 2 2 3 3 3" xfId="17651" xr:uid="{00000000-0005-0000-0000-0000BE570000}"/>
    <cellStyle name="Note 3 2 2 3 3 3 2" xfId="17652" xr:uid="{00000000-0005-0000-0000-0000BF570000}"/>
    <cellStyle name="Note 3 2 2 3 3 3 3" xfId="22187" xr:uid="{00000000-0005-0000-0000-0000C0570000}"/>
    <cellStyle name="Note 3 2 2 3 3 4" xfId="17653" xr:uid="{00000000-0005-0000-0000-0000C1570000}"/>
    <cellStyle name="Note 3 2 2 3 3 5" xfId="19600" xr:uid="{00000000-0005-0000-0000-0000C2570000}"/>
    <cellStyle name="Note 3 2 2 3 4" xfId="17654" xr:uid="{00000000-0005-0000-0000-0000C3570000}"/>
    <cellStyle name="Note 3 2 2 3 4 2" xfId="17655" xr:uid="{00000000-0005-0000-0000-0000C4570000}"/>
    <cellStyle name="Note 3 2 2 3 4 2 2" xfId="17656" xr:uid="{00000000-0005-0000-0000-0000C5570000}"/>
    <cellStyle name="Note 3 2 2 3 4 2 3" xfId="22832" xr:uid="{00000000-0005-0000-0000-0000C6570000}"/>
    <cellStyle name="Note 3 2 2 3 4 3" xfId="17657" xr:uid="{00000000-0005-0000-0000-0000C7570000}"/>
    <cellStyle name="Note 3 2 2 3 4 4" xfId="20249" xr:uid="{00000000-0005-0000-0000-0000C8570000}"/>
    <cellStyle name="Note 3 2 2 3 5" xfId="17658" xr:uid="{00000000-0005-0000-0000-0000C9570000}"/>
    <cellStyle name="Note 3 2 2 3 5 2" xfId="17659" xr:uid="{00000000-0005-0000-0000-0000CA570000}"/>
    <cellStyle name="Note 3 2 2 3 5 3" xfId="21542" xr:uid="{00000000-0005-0000-0000-0000CB570000}"/>
    <cellStyle name="Note 3 2 2 3 6" xfId="17660" xr:uid="{00000000-0005-0000-0000-0000CC570000}"/>
    <cellStyle name="Note 3 2 2 3 7" xfId="18948" xr:uid="{00000000-0005-0000-0000-0000CD570000}"/>
    <cellStyle name="Note 3 2 2 4" xfId="17661" xr:uid="{00000000-0005-0000-0000-0000CE570000}"/>
    <cellStyle name="Note 3 2 2 4 2" xfId="17662" xr:uid="{00000000-0005-0000-0000-0000CF570000}"/>
    <cellStyle name="Note 3 2 2 4 2 2" xfId="17663" xr:uid="{00000000-0005-0000-0000-0000D0570000}"/>
    <cellStyle name="Note 3 2 2 4 2 2 2" xfId="17664" xr:uid="{00000000-0005-0000-0000-0000D1570000}"/>
    <cellStyle name="Note 3 2 2 4 2 2 2 2" xfId="17665" xr:uid="{00000000-0005-0000-0000-0000D2570000}"/>
    <cellStyle name="Note 3 2 2 4 2 2 2 3" xfId="23638" xr:uid="{00000000-0005-0000-0000-0000D3570000}"/>
    <cellStyle name="Note 3 2 2 4 2 2 3" xfId="17666" xr:uid="{00000000-0005-0000-0000-0000D4570000}"/>
    <cellStyle name="Note 3 2 2 4 2 2 4" xfId="21055" xr:uid="{00000000-0005-0000-0000-0000D5570000}"/>
    <cellStyle name="Note 3 2 2 4 2 3" xfId="17667" xr:uid="{00000000-0005-0000-0000-0000D6570000}"/>
    <cellStyle name="Note 3 2 2 4 2 3 2" xfId="17668" xr:uid="{00000000-0005-0000-0000-0000D7570000}"/>
    <cellStyle name="Note 3 2 2 4 2 3 3" xfId="22348" xr:uid="{00000000-0005-0000-0000-0000D8570000}"/>
    <cellStyle name="Note 3 2 2 4 2 4" xfId="17669" xr:uid="{00000000-0005-0000-0000-0000D9570000}"/>
    <cellStyle name="Note 3 2 2 4 2 5" xfId="19761" xr:uid="{00000000-0005-0000-0000-0000DA570000}"/>
    <cellStyle name="Note 3 2 2 4 3" xfId="17670" xr:uid="{00000000-0005-0000-0000-0000DB570000}"/>
    <cellStyle name="Note 3 2 2 4 3 2" xfId="17671" xr:uid="{00000000-0005-0000-0000-0000DC570000}"/>
    <cellStyle name="Note 3 2 2 4 3 2 2" xfId="17672" xr:uid="{00000000-0005-0000-0000-0000DD570000}"/>
    <cellStyle name="Note 3 2 2 4 3 2 3" xfId="22993" xr:uid="{00000000-0005-0000-0000-0000DE570000}"/>
    <cellStyle name="Note 3 2 2 4 3 3" xfId="17673" xr:uid="{00000000-0005-0000-0000-0000DF570000}"/>
    <cellStyle name="Note 3 2 2 4 3 4" xfId="20410" xr:uid="{00000000-0005-0000-0000-0000E0570000}"/>
    <cellStyle name="Note 3 2 2 4 4" xfId="17674" xr:uid="{00000000-0005-0000-0000-0000E1570000}"/>
    <cellStyle name="Note 3 2 2 4 4 2" xfId="17675" xr:uid="{00000000-0005-0000-0000-0000E2570000}"/>
    <cellStyle name="Note 3 2 2 4 4 3" xfId="21703" xr:uid="{00000000-0005-0000-0000-0000E3570000}"/>
    <cellStyle name="Note 3 2 2 4 5" xfId="17676" xr:uid="{00000000-0005-0000-0000-0000E4570000}"/>
    <cellStyle name="Note 3 2 2 4 6" xfId="19113" xr:uid="{00000000-0005-0000-0000-0000E5570000}"/>
    <cellStyle name="Note 3 2 2 5" xfId="17677" xr:uid="{00000000-0005-0000-0000-0000E6570000}"/>
    <cellStyle name="Note 3 2 2 5 2" xfId="17678" xr:uid="{00000000-0005-0000-0000-0000E7570000}"/>
    <cellStyle name="Note 3 2 2 5 2 2" xfId="17679" xr:uid="{00000000-0005-0000-0000-0000E8570000}"/>
    <cellStyle name="Note 3 2 2 5 2 2 2" xfId="17680" xr:uid="{00000000-0005-0000-0000-0000E9570000}"/>
    <cellStyle name="Note 3 2 2 5 2 2 3" xfId="23315" xr:uid="{00000000-0005-0000-0000-0000EA570000}"/>
    <cellStyle name="Note 3 2 2 5 2 3" xfId="17681" xr:uid="{00000000-0005-0000-0000-0000EB570000}"/>
    <cellStyle name="Note 3 2 2 5 2 4" xfId="20732" xr:uid="{00000000-0005-0000-0000-0000EC570000}"/>
    <cellStyle name="Note 3 2 2 5 3" xfId="17682" xr:uid="{00000000-0005-0000-0000-0000ED570000}"/>
    <cellStyle name="Note 3 2 2 5 3 2" xfId="17683" xr:uid="{00000000-0005-0000-0000-0000EE570000}"/>
    <cellStyle name="Note 3 2 2 5 3 3" xfId="22025" xr:uid="{00000000-0005-0000-0000-0000EF570000}"/>
    <cellStyle name="Note 3 2 2 5 4" xfId="17684" xr:uid="{00000000-0005-0000-0000-0000F0570000}"/>
    <cellStyle name="Note 3 2 2 5 5" xfId="19439" xr:uid="{00000000-0005-0000-0000-0000F1570000}"/>
    <cellStyle name="Note 3 2 2 6" xfId="17685" xr:uid="{00000000-0005-0000-0000-0000F2570000}"/>
    <cellStyle name="Note 3 2 2 6 2" xfId="17686" xr:uid="{00000000-0005-0000-0000-0000F3570000}"/>
    <cellStyle name="Note 3 2 2 6 2 2" xfId="17687" xr:uid="{00000000-0005-0000-0000-0000F4570000}"/>
    <cellStyle name="Note 3 2 2 6 2 3" xfId="22670" xr:uid="{00000000-0005-0000-0000-0000F5570000}"/>
    <cellStyle name="Note 3 2 2 6 3" xfId="17688" xr:uid="{00000000-0005-0000-0000-0000F6570000}"/>
    <cellStyle name="Note 3 2 2 6 4" xfId="20087" xr:uid="{00000000-0005-0000-0000-0000F7570000}"/>
    <cellStyle name="Note 3 2 2 7" xfId="17689" xr:uid="{00000000-0005-0000-0000-0000F8570000}"/>
    <cellStyle name="Note 3 2 2 7 2" xfId="17690" xr:uid="{00000000-0005-0000-0000-0000F9570000}"/>
    <cellStyle name="Note 3 2 2 7 3" xfId="21380" xr:uid="{00000000-0005-0000-0000-0000FA570000}"/>
    <cellStyle name="Note 3 2 2 8" xfId="17691" xr:uid="{00000000-0005-0000-0000-0000FB570000}"/>
    <cellStyle name="Note 3 2 2 9" xfId="18766" xr:uid="{00000000-0005-0000-0000-0000FC570000}"/>
    <cellStyle name="Note 3 2 3" xfId="17692" xr:uid="{00000000-0005-0000-0000-0000FD570000}"/>
    <cellStyle name="Note 3 2 3 2" xfId="17693" xr:uid="{00000000-0005-0000-0000-0000FE570000}"/>
    <cellStyle name="Note 3 2 3 2 2" xfId="17694" xr:uid="{00000000-0005-0000-0000-0000FF570000}"/>
    <cellStyle name="Note 3 2 3 2 2 2" xfId="17695" xr:uid="{00000000-0005-0000-0000-000000580000}"/>
    <cellStyle name="Note 3 2 3 2 2 2 2" xfId="17696" xr:uid="{00000000-0005-0000-0000-000001580000}"/>
    <cellStyle name="Note 3 2 3 2 2 2 2 2" xfId="17697" xr:uid="{00000000-0005-0000-0000-000002580000}"/>
    <cellStyle name="Note 3 2 3 2 2 2 2 2 2" xfId="17698" xr:uid="{00000000-0005-0000-0000-000003580000}"/>
    <cellStyle name="Note 3 2 3 2 2 2 2 2 3" xfId="23839" xr:uid="{00000000-0005-0000-0000-000004580000}"/>
    <cellStyle name="Note 3 2 3 2 2 2 2 3" xfId="17699" xr:uid="{00000000-0005-0000-0000-000005580000}"/>
    <cellStyle name="Note 3 2 3 2 2 2 2 4" xfId="21256" xr:uid="{00000000-0005-0000-0000-000006580000}"/>
    <cellStyle name="Note 3 2 3 2 2 2 3" xfId="17700" xr:uid="{00000000-0005-0000-0000-000007580000}"/>
    <cellStyle name="Note 3 2 3 2 2 2 3 2" xfId="17701" xr:uid="{00000000-0005-0000-0000-000008580000}"/>
    <cellStyle name="Note 3 2 3 2 2 2 3 3" xfId="22549" xr:uid="{00000000-0005-0000-0000-000009580000}"/>
    <cellStyle name="Note 3 2 3 2 2 2 4" xfId="17702" xr:uid="{00000000-0005-0000-0000-00000A580000}"/>
    <cellStyle name="Note 3 2 3 2 2 2 5" xfId="19962" xr:uid="{00000000-0005-0000-0000-00000B580000}"/>
    <cellStyle name="Note 3 2 3 2 2 3" xfId="17703" xr:uid="{00000000-0005-0000-0000-00000C580000}"/>
    <cellStyle name="Note 3 2 3 2 2 3 2" xfId="17704" xr:uid="{00000000-0005-0000-0000-00000D580000}"/>
    <cellStyle name="Note 3 2 3 2 2 3 2 2" xfId="17705" xr:uid="{00000000-0005-0000-0000-00000E580000}"/>
    <cellStyle name="Note 3 2 3 2 2 3 2 3" xfId="23194" xr:uid="{00000000-0005-0000-0000-00000F580000}"/>
    <cellStyle name="Note 3 2 3 2 2 3 3" xfId="17706" xr:uid="{00000000-0005-0000-0000-000010580000}"/>
    <cellStyle name="Note 3 2 3 2 2 3 4" xfId="20611" xr:uid="{00000000-0005-0000-0000-000011580000}"/>
    <cellStyle name="Note 3 2 3 2 2 4" xfId="17707" xr:uid="{00000000-0005-0000-0000-000012580000}"/>
    <cellStyle name="Note 3 2 3 2 2 4 2" xfId="17708" xr:uid="{00000000-0005-0000-0000-000013580000}"/>
    <cellStyle name="Note 3 2 3 2 2 4 3" xfId="21904" xr:uid="{00000000-0005-0000-0000-000014580000}"/>
    <cellStyle name="Note 3 2 3 2 2 5" xfId="17709" xr:uid="{00000000-0005-0000-0000-000015580000}"/>
    <cellStyle name="Note 3 2 3 2 2 6" xfId="19314" xr:uid="{00000000-0005-0000-0000-000016580000}"/>
    <cellStyle name="Note 3 2 3 2 3" xfId="17710" xr:uid="{00000000-0005-0000-0000-000017580000}"/>
    <cellStyle name="Note 3 2 3 2 3 2" xfId="17711" xr:uid="{00000000-0005-0000-0000-000018580000}"/>
    <cellStyle name="Note 3 2 3 2 3 2 2" xfId="17712" xr:uid="{00000000-0005-0000-0000-000019580000}"/>
    <cellStyle name="Note 3 2 3 2 3 2 2 2" xfId="17713" xr:uid="{00000000-0005-0000-0000-00001A580000}"/>
    <cellStyle name="Note 3 2 3 2 3 2 2 3" xfId="23517" xr:uid="{00000000-0005-0000-0000-00001B580000}"/>
    <cellStyle name="Note 3 2 3 2 3 2 3" xfId="17714" xr:uid="{00000000-0005-0000-0000-00001C580000}"/>
    <cellStyle name="Note 3 2 3 2 3 2 4" xfId="20934" xr:uid="{00000000-0005-0000-0000-00001D580000}"/>
    <cellStyle name="Note 3 2 3 2 3 3" xfId="17715" xr:uid="{00000000-0005-0000-0000-00001E580000}"/>
    <cellStyle name="Note 3 2 3 2 3 3 2" xfId="17716" xr:uid="{00000000-0005-0000-0000-00001F580000}"/>
    <cellStyle name="Note 3 2 3 2 3 3 3" xfId="22227" xr:uid="{00000000-0005-0000-0000-000020580000}"/>
    <cellStyle name="Note 3 2 3 2 3 4" xfId="17717" xr:uid="{00000000-0005-0000-0000-000021580000}"/>
    <cellStyle name="Note 3 2 3 2 3 5" xfId="19640" xr:uid="{00000000-0005-0000-0000-000022580000}"/>
    <cellStyle name="Note 3 2 3 2 4" xfId="17718" xr:uid="{00000000-0005-0000-0000-000023580000}"/>
    <cellStyle name="Note 3 2 3 2 4 2" xfId="17719" xr:uid="{00000000-0005-0000-0000-000024580000}"/>
    <cellStyle name="Note 3 2 3 2 4 2 2" xfId="17720" xr:uid="{00000000-0005-0000-0000-000025580000}"/>
    <cellStyle name="Note 3 2 3 2 4 2 3" xfId="22872" xr:uid="{00000000-0005-0000-0000-000026580000}"/>
    <cellStyle name="Note 3 2 3 2 4 3" xfId="17721" xr:uid="{00000000-0005-0000-0000-000027580000}"/>
    <cellStyle name="Note 3 2 3 2 4 4" xfId="20289" xr:uid="{00000000-0005-0000-0000-000028580000}"/>
    <cellStyle name="Note 3 2 3 2 5" xfId="17722" xr:uid="{00000000-0005-0000-0000-000029580000}"/>
    <cellStyle name="Note 3 2 3 2 5 2" xfId="17723" xr:uid="{00000000-0005-0000-0000-00002A580000}"/>
    <cellStyle name="Note 3 2 3 2 5 3" xfId="21582" xr:uid="{00000000-0005-0000-0000-00002B580000}"/>
    <cellStyle name="Note 3 2 3 2 6" xfId="17724" xr:uid="{00000000-0005-0000-0000-00002C580000}"/>
    <cellStyle name="Note 3 2 3 2 7" xfId="18988" xr:uid="{00000000-0005-0000-0000-00002D580000}"/>
    <cellStyle name="Note 3 2 3 3" xfId="17725" xr:uid="{00000000-0005-0000-0000-00002E580000}"/>
    <cellStyle name="Note 3 2 3 3 2" xfId="17726" xr:uid="{00000000-0005-0000-0000-00002F580000}"/>
    <cellStyle name="Note 3 2 3 3 2 2" xfId="17727" xr:uid="{00000000-0005-0000-0000-000030580000}"/>
    <cellStyle name="Note 3 2 3 3 2 2 2" xfId="17728" xr:uid="{00000000-0005-0000-0000-000031580000}"/>
    <cellStyle name="Note 3 2 3 3 2 2 2 2" xfId="17729" xr:uid="{00000000-0005-0000-0000-000032580000}"/>
    <cellStyle name="Note 3 2 3 3 2 2 2 3" xfId="23678" xr:uid="{00000000-0005-0000-0000-000033580000}"/>
    <cellStyle name="Note 3 2 3 3 2 2 3" xfId="17730" xr:uid="{00000000-0005-0000-0000-000034580000}"/>
    <cellStyle name="Note 3 2 3 3 2 2 4" xfId="21095" xr:uid="{00000000-0005-0000-0000-000035580000}"/>
    <cellStyle name="Note 3 2 3 3 2 3" xfId="17731" xr:uid="{00000000-0005-0000-0000-000036580000}"/>
    <cellStyle name="Note 3 2 3 3 2 3 2" xfId="17732" xr:uid="{00000000-0005-0000-0000-000037580000}"/>
    <cellStyle name="Note 3 2 3 3 2 3 3" xfId="22388" xr:uid="{00000000-0005-0000-0000-000038580000}"/>
    <cellStyle name="Note 3 2 3 3 2 4" xfId="17733" xr:uid="{00000000-0005-0000-0000-000039580000}"/>
    <cellStyle name="Note 3 2 3 3 2 5" xfId="19801" xr:uid="{00000000-0005-0000-0000-00003A580000}"/>
    <cellStyle name="Note 3 2 3 3 3" xfId="17734" xr:uid="{00000000-0005-0000-0000-00003B580000}"/>
    <cellStyle name="Note 3 2 3 3 3 2" xfId="17735" xr:uid="{00000000-0005-0000-0000-00003C580000}"/>
    <cellStyle name="Note 3 2 3 3 3 2 2" xfId="17736" xr:uid="{00000000-0005-0000-0000-00003D580000}"/>
    <cellStyle name="Note 3 2 3 3 3 2 3" xfId="23033" xr:uid="{00000000-0005-0000-0000-00003E580000}"/>
    <cellStyle name="Note 3 2 3 3 3 3" xfId="17737" xr:uid="{00000000-0005-0000-0000-00003F580000}"/>
    <cellStyle name="Note 3 2 3 3 3 4" xfId="20450" xr:uid="{00000000-0005-0000-0000-000040580000}"/>
    <cellStyle name="Note 3 2 3 3 4" xfId="17738" xr:uid="{00000000-0005-0000-0000-000041580000}"/>
    <cellStyle name="Note 3 2 3 3 4 2" xfId="17739" xr:uid="{00000000-0005-0000-0000-000042580000}"/>
    <cellStyle name="Note 3 2 3 3 4 3" xfId="21743" xr:uid="{00000000-0005-0000-0000-000043580000}"/>
    <cellStyle name="Note 3 2 3 3 5" xfId="17740" xr:uid="{00000000-0005-0000-0000-000044580000}"/>
    <cellStyle name="Note 3 2 3 3 6" xfId="19153" xr:uid="{00000000-0005-0000-0000-000045580000}"/>
    <cellStyle name="Note 3 2 3 4" xfId="17741" xr:uid="{00000000-0005-0000-0000-000046580000}"/>
    <cellStyle name="Note 3 2 3 4 2" xfId="17742" xr:uid="{00000000-0005-0000-0000-000047580000}"/>
    <cellStyle name="Note 3 2 3 4 2 2" xfId="17743" xr:uid="{00000000-0005-0000-0000-000048580000}"/>
    <cellStyle name="Note 3 2 3 4 2 2 2" xfId="17744" xr:uid="{00000000-0005-0000-0000-000049580000}"/>
    <cellStyle name="Note 3 2 3 4 2 2 3" xfId="23356" xr:uid="{00000000-0005-0000-0000-00004A580000}"/>
    <cellStyle name="Note 3 2 3 4 2 3" xfId="17745" xr:uid="{00000000-0005-0000-0000-00004B580000}"/>
    <cellStyle name="Note 3 2 3 4 2 4" xfId="20773" xr:uid="{00000000-0005-0000-0000-00004C580000}"/>
    <cellStyle name="Note 3 2 3 4 3" xfId="17746" xr:uid="{00000000-0005-0000-0000-00004D580000}"/>
    <cellStyle name="Note 3 2 3 4 3 2" xfId="17747" xr:uid="{00000000-0005-0000-0000-00004E580000}"/>
    <cellStyle name="Note 3 2 3 4 3 3" xfId="22066" xr:uid="{00000000-0005-0000-0000-00004F580000}"/>
    <cellStyle name="Note 3 2 3 4 4" xfId="17748" xr:uid="{00000000-0005-0000-0000-000050580000}"/>
    <cellStyle name="Note 3 2 3 4 5" xfId="19479" xr:uid="{00000000-0005-0000-0000-000051580000}"/>
    <cellStyle name="Note 3 2 3 5" xfId="17749" xr:uid="{00000000-0005-0000-0000-000052580000}"/>
    <cellStyle name="Note 3 2 3 5 2" xfId="17750" xr:uid="{00000000-0005-0000-0000-000053580000}"/>
    <cellStyle name="Note 3 2 3 5 2 2" xfId="17751" xr:uid="{00000000-0005-0000-0000-000054580000}"/>
    <cellStyle name="Note 3 2 3 5 2 3" xfId="22711" xr:uid="{00000000-0005-0000-0000-000055580000}"/>
    <cellStyle name="Note 3 2 3 5 3" xfId="17752" xr:uid="{00000000-0005-0000-0000-000056580000}"/>
    <cellStyle name="Note 3 2 3 5 4" xfId="20128" xr:uid="{00000000-0005-0000-0000-000057580000}"/>
    <cellStyle name="Note 3 2 3 6" xfId="17753" xr:uid="{00000000-0005-0000-0000-000058580000}"/>
    <cellStyle name="Note 3 2 3 6 2" xfId="17754" xr:uid="{00000000-0005-0000-0000-000059580000}"/>
    <cellStyle name="Note 3 2 3 6 3" xfId="21421" xr:uid="{00000000-0005-0000-0000-00005A580000}"/>
    <cellStyle name="Note 3 2 3 7" xfId="17755" xr:uid="{00000000-0005-0000-0000-00005B580000}"/>
    <cellStyle name="Note 3 2 3 8" xfId="18822" xr:uid="{00000000-0005-0000-0000-00005C580000}"/>
    <cellStyle name="Note 3 2 4" xfId="17756" xr:uid="{00000000-0005-0000-0000-00005D580000}"/>
    <cellStyle name="Note 3 2 4 2" xfId="17757" xr:uid="{00000000-0005-0000-0000-00005E580000}"/>
    <cellStyle name="Note 3 2 4 2 2" xfId="17758" xr:uid="{00000000-0005-0000-0000-00005F580000}"/>
    <cellStyle name="Note 3 2 4 2 2 2" xfId="17759" xr:uid="{00000000-0005-0000-0000-000060580000}"/>
    <cellStyle name="Note 3 2 4 2 2 2 2" xfId="17760" xr:uid="{00000000-0005-0000-0000-000061580000}"/>
    <cellStyle name="Note 3 2 4 2 2 2 2 2" xfId="17761" xr:uid="{00000000-0005-0000-0000-000062580000}"/>
    <cellStyle name="Note 3 2 4 2 2 2 2 3" xfId="23759" xr:uid="{00000000-0005-0000-0000-000063580000}"/>
    <cellStyle name="Note 3 2 4 2 2 2 3" xfId="17762" xr:uid="{00000000-0005-0000-0000-000064580000}"/>
    <cellStyle name="Note 3 2 4 2 2 2 4" xfId="21176" xr:uid="{00000000-0005-0000-0000-000065580000}"/>
    <cellStyle name="Note 3 2 4 2 2 3" xfId="17763" xr:uid="{00000000-0005-0000-0000-000066580000}"/>
    <cellStyle name="Note 3 2 4 2 2 3 2" xfId="17764" xr:uid="{00000000-0005-0000-0000-000067580000}"/>
    <cellStyle name="Note 3 2 4 2 2 3 3" xfId="22469" xr:uid="{00000000-0005-0000-0000-000068580000}"/>
    <cellStyle name="Note 3 2 4 2 2 4" xfId="17765" xr:uid="{00000000-0005-0000-0000-000069580000}"/>
    <cellStyle name="Note 3 2 4 2 2 5" xfId="19882" xr:uid="{00000000-0005-0000-0000-00006A580000}"/>
    <cellStyle name="Note 3 2 4 2 3" xfId="17766" xr:uid="{00000000-0005-0000-0000-00006B580000}"/>
    <cellStyle name="Note 3 2 4 2 3 2" xfId="17767" xr:uid="{00000000-0005-0000-0000-00006C580000}"/>
    <cellStyle name="Note 3 2 4 2 3 2 2" xfId="17768" xr:uid="{00000000-0005-0000-0000-00006D580000}"/>
    <cellStyle name="Note 3 2 4 2 3 2 3" xfId="23114" xr:uid="{00000000-0005-0000-0000-00006E580000}"/>
    <cellStyle name="Note 3 2 4 2 3 3" xfId="17769" xr:uid="{00000000-0005-0000-0000-00006F580000}"/>
    <cellStyle name="Note 3 2 4 2 3 4" xfId="20531" xr:uid="{00000000-0005-0000-0000-000070580000}"/>
    <cellStyle name="Note 3 2 4 2 4" xfId="17770" xr:uid="{00000000-0005-0000-0000-000071580000}"/>
    <cellStyle name="Note 3 2 4 2 4 2" xfId="17771" xr:uid="{00000000-0005-0000-0000-000072580000}"/>
    <cellStyle name="Note 3 2 4 2 4 3" xfId="21824" xr:uid="{00000000-0005-0000-0000-000073580000}"/>
    <cellStyle name="Note 3 2 4 2 5" xfId="17772" xr:uid="{00000000-0005-0000-0000-000074580000}"/>
    <cellStyle name="Note 3 2 4 2 6" xfId="19234" xr:uid="{00000000-0005-0000-0000-000075580000}"/>
    <cellStyle name="Note 3 2 4 3" xfId="17773" xr:uid="{00000000-0005-0000-0000-000076580000}"/>
    <cellStyle name="Note 3 2 4 3 2" xfId="17774" xr:uid="{00000000-0005-0000-0000-000077580000}"/>
    <cellStyle name="Note 3 2 4 3 2 2" xfId="17775" xr:uid="{00000000-0005-0000-0000-000078580000}"/>
    <cellStyle name="Note 3 2 4 3 2 2 2" xfId="17776" xr:uid="{00000000-0005-0000-0000-000079580000}"/>
    <cellStyle name="Note 3 2 4 3 2 2 3" xfId="23437" xr:uid="{00000000-0005-0000-0000-00007A580000}"/>
    <cellStyle name="Note 3 2 4 3 2 3" xfId="17777" xr:uid="{00000000-0005-0000-0000-00007B580000}"/>
    <cellStyle name="Note 3 2 4 3 2 4" xfId="20854" xr:uid="{00000000-0005-0000-0000-00007C580000}"/>
    <cellStyle name="Note 3 2 4 3 3" xfId="17778" xr:uid="{00000000-0005-0000-0000-00007D580000}"/>
    <cellStyle name="Note 3 2 4 3 3 2" xfId="17779" xr:uid="{00000000-0005-0000-0000-00007E580000}"/>
    <cellStyle name="Note 3 2 4 3 3 3" xfId="22147" xr:uid="{00000000-0005-0000-0000-00007F580000}"/>
    <cellStyle name="Note 3 2 4 3 4" xfId="17780" xr:uid="{00000000-0005-0000-0000-000080580000}"/>
    <cellStyle name="Note 3 2 4 3 5" xfId="19560" xr:uid="{00000000-0005-0000-0000-000081580000}"/>
    <cellStyle name="Note 3 2 4 4" xfId="17781" xr:uid="{00000000-0005-0000-0000-000082580000}"/>
    <cellStyle name="Note 3 2 4 4 2" xfId="17782" xr:uid="{00000000-0005-0000-0000-000083580000}"/>
    <cellStyle name="Note 3 2 4 4 2 2" xfId="17783" xr:uid="{00000000-0005-0000-0000-000084580000}"/>
    <cellStyle name="Note 3 2 4 4 2 3" xfId="22792" xr:uid="{00000000-0005-0000-0000-000085580000}"/>
    <cellStyle name="Note 3 2 4 4 3" xfId="17784" xr:uid="{00000000-0005-0000-0000-000086580000}"/>
    <cellStyle name="Note 3 2 4 4 4" xfId="20209" xr:uid="{00000000-0005-0000-0000-000087580000}"/>
    <cellStyle name="Note 3 2 4 5" xfId="17785" xr:uid="{00000000-0005-0000-0000-000088580000}"/>
    <cellStyle name="Note 3 2 4 5 2" xfId="17786" xr:uid="{00000000-0005-0000-0000-000089580000}"/>
    <cellStyle name="Note 3 2 4 5 3" xfId="21502" xr:uid="{00000000-0005-0000-0000-00008A580000}"/>
    <cellStyle name="Note 3 2 4 6" xfId="17787" xr:uid="{00000000-0005-0000-0000-00008B580000}"/>
    <cellStyle name="Note 3 2 4 7" xfId="18908" xr:uid="{00000000-0005-0000-0000-00008C580000}"/>
    <cellStyle name="Note 3 2 5" xfId="17788" xr:uid="{00000000-0005-0000-0000-00008D580000}"/>
    <cellStyle name="Note 3 2 5 2" xfId="17789" xr:uid="{00000000-0005-0000-0000-00008E580000}"/>
    <cellStyle name="Note 3 2 5 2 2" xfId="17790" xr:uid="{00000000-0005-0000-0000-00008F580000}"/>
    <cellStyle name="Note 3 2 5 2 2 2" xfId="17791" xr:uid="{00000000-0005-0000-0000-000090580000}"/>
    <cellStyle name="Note 3 2 5 2 2 2 2" xfId="17792" xr:uid="{00000000-0005-0000-0000-000091580000}"/>
    <cellStyle name="Note 3 2 5 2 2 2 3" xfId="23598" xr:uid="{00000000-0005-0000-0000-000092580000}"/>
    <cellStyle name="Note 3 2 5 2 2 3" xfId="17793" xr:uid="{00000000-0005-0000-0000-000093580000}"/>
    <cellStyle name="Note 3 2 5 2 2 4" xfId="21015" xr:uid="{00000000-0005-0000-0000-000094580000}"/>
    <cellStyle name="Note 3 2 5 2 3" xfId="17794" xr:uid="{00000000-0005-0000-0000-000095580000}"/>
    <cellStyle name="Note 3 2 5 2 3 2" xfId="17795" xr:uid="{00000000-0005-0000-0000-000096580000}"/>
    <cellStyle name="Note 3 2 5 2 3 3" xfId="22308" xr:uid="{00000000-0005-0000-0000-000097580000}"/>
    <cellStyle name="Note 3 2 5 2 4" xfId="17796" xr:uid="{00000000-0005-0000-0000-000098580000}"/>
    <cellStyle name="Note 3 2 5 2 5" xfId="19721" xr:uid="{00000000-0005-0000-0000-000099580000}"/>
    <cellStyle name="Note 3 2 5 3" xfId="17797" xr:uid="{00000000-0005-0000-0000-00009A580000}"/>
    <cellStyle name="Note 3 2 5 3 2" xfId="17798" xr:uid="{00000000-0005-0000-0000-00009B580000}"/>
    <cellStyle name="Note 3 2 5 3 2 2" xfId="17799" xr:uid="{00000000-0005-0000-0000-00009C580000}"/>
    <cellStyle name="Note 3 2 5 3 2 3" xfId="22953" xr:uid="{00000000-0005-0000-0000-00009D580000}"/>
    <cellStyle name="Note 3 2 5 3 3" xfId="17800" xr:uid="{00000000-0005-0000-0000-00009E580000}"/>
    <cellStyle name="Note 3 2 5 3 4" xfId="20370" xr:uid="{00000000-0005-0000-0000-00009F580000}"/>
    <cellStyle name="Note 3 2 5 4" xfId="17801" xr:uid="{00000000-0005-0000-0000-0000A0580000}"/>
    <cellStyle name="Note 3 2 5 4 2" xfId="17802" xr:uid="{00000000-0005-0000-0000-0000A1580000}"/>
    <cellStyle name="Note 3 2 5 4 3" xfId="21663" xr:uid="{00000000-0005-0000-0000-0000A2580000}"/>
    <cellStyle name="Note 3 2 5 5" xfId="17803" xr:uid="{00000000-0005-0000-0000-0000A3580000}"/>
    <cellStyle name="Note 3 2 5 6" xfId="19073" xr:uid="{00000000-0005-0000-0000-0000A4580000}"/>
    <cellStyle name="Note 3 2 6" xfId="17804" xr:uid="{00000000-0005-0000-0000-0000A5580000}"/>
    <cellStyle name="Note 3 2 6 2" xfId="17805" xr:uid="{00000000-0005-0000-0000-0000A6580000}"/>
    <cellStyle name="Note 3 2 6 2 2" xfId="17806" xr:uid="{00000000-0005-0000-0000-0000A7580000}"/>
    <cellStyle name="Note 3 2 6 2 2 2" xfId="17807" xr:uid="{00000000-0005-0000-0000-0000A8580000}"/>
    <cellStyle name="Note 3 2 6 2 2 3" xfId="23275" xr:uid="{00000000-0005-0000-0000-0000A9580000}"/>
    <cellStyle name="Note 3 2 6 2 3" xfId="17808" xr:uid="{00000000-0005-0000-0000-0000AA580000}"/>
    <cellStyle name="Note 3 2 6 2 4" xfId="20692" xr:uid="{00000000-0005-0000-0000-0000AB580000}"/>
    <cellStyle name="Note 3 2 6 3" xfId="17809" xr:uid="{00000000-0005-0000-0000-0000AC580000}"/>
    <cellStyle name="Note 3 2 6 3 2" xfId="17810" xr:uid="{00000000-0005-0000-0000-0000AD580000}"/>
    <cellStyle name="Note 3 2 6 3 3" xfId="21985" xr:uid="{00000000-0005-0000-0000-0000AE580000}"/>
    <cellStyle name="Note 3 2 6 4" xfId="17811" xr:uid="{00000000-0005-0000-0000-0000AF580000}"/>
    <cellStyle name="Note 3 2 6 5" xfId="19399" xr:uid="{00000000-0005-0000-0000-0000B0580000}"/>
    <cellStyle name="Note 3 2 7" xfId="17812" xr:uid="{00000000-0005-0000-0000-0000B1580000}"/>
    <cellStyle name="Note 3 2 7 2" xfId="17813" xr:uid="{00000000-0005-0000-0000-0000B2580000}"/>
    <cellStyle name="Note 3 2 7 2 2" xfId="17814" xr:uid="{00000000-0005-0000-0000-0000B3580000}"/>
    <cellStyle name="Note 3 2 7 2 3" xfId="22630" xr:uid="{00000000-0005-0000-0000-0000B4580000}"/>
    <cellStyle name="Note 3 2 7 3" xfId="17815" xr:uid="{00000000-0005-0000-0000-0000B5580000}"/>
    <cellStyle name="Note 3 2 7 4" xfId="20047" xr:uid="{00000000-0005-0000-0000-0000B6580000}"/>
    <cellStyle name="Note 3 2 8" xfId="17816" xr:uid="{00000000-0005-0000-0000-0000B7580000}"/>
    <cellStyle name="Note 3 2 8 2" xfId="17817" xr:uid="{00000000-0005-0000-0000-0000B8580000}"/>
    <cellStyle name="Note 3 2 8 3" xfId="21340" xr:uid="{00000000-0005-0000-0000-0000B9580000}"/>
    <cellStyle name="Note 3 2 9" xfId="17818" xr:uid="{00000000-0005-0000-0000-0000BA580000}"/>
    <cellStyle name="Note 3 3" xfId="17819" xr:uid="{00000000-0005-0000-0000-0000BB580000}"/>
    <cellStyle name="Note 3 3 2" xfId="17820" xr:uid="{00000000-0005-0000-0000-0000BC580000}"/>
    <cellStyle name="Note 3 3 2 2" xfId="17821" xr:uid="{00000000-0005-0000-0000-0000BD580000}"/>
    <cellStyle name="Note 3 3 2 2 2" xfId="17822" xr:uid="{00000000-0005-0000-0000-0000BE580000}"/>
    <cellStyle name="Note 3 3 2 2 2 2" xfId="17823" xr:uid="{00000000-0005-0000-0000-0000BF580000}"/>
    <cellStyle name="Note 3 3 2 2 2 2 2" xfId="17824" xr:uid="{00000000-0005-0000-0000-0000C0580000}"/>
    <cellStyle name="Note 3 3 2 2 2 2 2 2" xfId="17825" xr:uid="{00000000-0005-0000-0000-0000C1580000}"/>
    <cellStyle name="Note 3 3 2 2 2 2 2 2 2" xfId="17826" xr:uid="{00000000-0005-0000-0000-0000C2580000}"/>
    <cellStyle name="Note 3 3 2 2 2 2 2 2 3" xfId="23859" xr:uid="{00000000-0005-0000-0000-0000C3580000}"/>
    <cellStyle name="Note 3 3 2 2 2 2 2 3" xfId="17827" xr:uid="{00000000-0005-0000-0000-0000C4580000}"/>
    <cellStyle name="Note 3 3 2 2 2 2 2 4" xfId="21276" xr:uid="{00000000-0005-0000-0000-0000C5580000}"/>
    <cellStyle name="Note 3 3 2 2 2 2 3" xfId="17828" xr:uid="{00000000-0005-0000-0000-0000C6580000}"/>
    <cellStyle name="Note 3 3 2 2 2 2 3 2" xfId="17829" xr:uid="{00000000-0005-0000-0000-0000C7580000}"/>
    <cellStyle name="Note 3 3 2 2 2 2 3 3" xfId="22569" xr:uid="{00000000-0005-0000-0000-0000C8580000}"/>
    <cellStyle name="Note 3 3 2 2 2 2 4" xfId="17830" xr:uid="{00000000-0005-0000-0000-0000C9580000}"/>
    <cellStyle name="Note 3 3 2 2 2 2 5" xfId="19982" xr:uid="{00000000-0005-0000-0000-0000CA580000}"/>
    <cellStyle name="Note 3 3 2 2 2 3" xfId="17831" xr:uid="{00000000-0005-0000-0000-0000CB580000}"/>
    <cellStyle name="Note 3 3 2 2 2 3 2" xfId="17832" xr:uid="{00000000-0005-0000-0000-0000CC580000}"/>
    <cellStyle name="Note 3 3 2 2 2 3 2 2" xfId="17833" xr:uid="{00000000-0005-0000-0000-0000CD580000}"/>
    <cellStyle name="Note 3 3 2 2 2 3 2 3" xfId="23214" xr:uid="{00000000-0005-0000-0000-0000CE580000}"/>
    <cellStyle name="Note 3 3 2 2 2 3 3" xfId="17834" xr:uid="{00000000-0005-0000-0000-0000CF580000}"/>
    <cellStyle name="Note 3 3 2 2 2 3 4" xfId="20631" xr:uid="{00000000-0005-0000-0000-0000D0580000}"/>
    <cellStyle name="Note 3 3 2 2 2 4" xfId="17835" xr:uid="{00000000-0005-0000-0000-0000D1580000}"/>
    <cellStyle name="Note 3 3 2 2 2 4 2" xfId="17836" xr:uid="{00000000-0005-0000-0000-0000D2580000}"/>
    <cellStyle name="Note 3 3 2 2 2 4 3" xfId="21924" xr:uid="{00000000-0005-0000-0000-0000D3580000}"/>
    <cellStyle name="Note 3 3 2 2 2 5" xfId="17837" xr:uid="{00000000-0005-0000-0000-0000D4580000}"/>
    <cellStyle name="Note 3 3 2 2 2 6" xfId="19334" xr:uid="{00000000-0005-0000-0000-0000D5580000}"/>
    <cellStyle name="Note 3 3 2 2 3" xfId="17838" xr:uid="{00000000-0005-0000-0000-0000D6580000}"/>
    <cellStyle name="Note 3 3 2 2 3 2" xfId="17839" xr:uid="{00000000-0005-0000-0000-0000D7580000}"/>
    <cellStyle name="Note 3 3 2 2 3 2 2" xfId="17840" xr:uid="{00000000-0005-0000-0000-0000D8580000}"/>
    <cellStyle name="Note 3 3 2 2 3 2 2 2" xfId="17841" xr:uid="{00000000-0005-0000-0000-0000D9580000}"/>
    <cellStyle name="Note 3 3 2 2 3 2 2 3" xfId="23537" xr:uid="{00000000-0005-0000-0000-0000DA580000}"/>
    <cellStyle name="Note 3 3 2 2 3 2 3" xfId="17842" xr:uid="{00000000-0005-0000-0000-0000DB580000}"/>
    <cellStyle name="Note 3 3 2 2 3 2 4" xfId="20954" xr:uid="{00000000-0005-0000-0000-0000DC580000}"/>
    <cellStyle name="Note 3 3 2 2 3 3" xfId="17843" xr:uid="{00000000-0005-0000-0000-0000DD580000}"/>
    <cellStyle name="Note 3 3 2 2 3 3 2" xfId="17844" xr:uid="{00000000-0005-0000-0000-0000DE580000}"/>
    <cellStyle name="Note 3 3 2 2 3 3 3" xfId="22247" xr:uid="{00000000-0005-0000-0000-0000DF580000}"/>
    <cellStyle name="Note 3 3 2 2 3 4" xfId="17845" xr:uid="{00000000-0005-0000-0000-0000E0580000}"/>
    <cellStyle name="Note 3 3 2 2 3 5" xfId="19660" xr:uid="{00000000-0005-0000-0000-0000E1580000}"/>
    <cellStyle name="Note 3 3 2 2 4" xfId="17846" xr:uid="{00000000-0005-0000-0000-0000E2580000}"/>
    <cellStyle name="Note 3 3 2 2 4 2" xfId="17847" xr:uid="{00000000-0005-0000-0000-0000E3580000}"/>
    <cellStyle name="Note 3 3 2 2 4 2 2" xfId="17848" xr:uid="{00000000-0005-0000-0000-0000E4580000}"/>
    <cellStyle name="Note 3 3 2 2 4 2 3" xfId="22892" xr:uid="{00000000-0005-0000-0000-0000E5580000}"/>
    <cellStyle name="Note 3 3 2 2 4 3" xfId="17849" xr:uid="{00000000-0005-0000-0000-0000E6580000}"/>
    <cellStyle name="Note 3 3 2 2 4 4" xfId="20309" xr:uid="{00000000-0005-0000-0000-0000E7580000}"/>
    <cellStyle name="Note 3 3 2 2 5" xfId="17850" xr:uid="{00000000-0005-0000-0000-0000E8580000}"/>
    <cellStyle name="Note 3 3 2 2 5 2" xfId="17851" xr:uid="{00000000-0005-0000-0000-0000E9580000}"/>
    <cellStyle name="Note 3 3 2 2 5 3" xfId="21602" xr:uid="{00000000-0005-0000-0000-0000EA580000}"/>
    <cellStyle name="Note 3 3 2 2 6" xfId="17852" xr:uid="{00000000-0005-0000-0000-0000EB580000}"/>
    <cellStyle name="Note 3 3 2 2 7" xfId="19008" xr:uid="{00000000-0005-0000-0000-0000EC580000}"/>
    <cellStyle name="Note 3 3 2 3" xfId="17853" xr:uid="{00000000-0005-0000-0000-0000ED580000}"/>
    <cellStyle name="Note 3 3 2 3 2" xfId="17854" xr:uid="{00000000-0005-0000-0000-0000EE580000}"/>
    <cellStyle name="Note 3 3 2 3 2 2" xfId="17855" xr:uid="{00000000-0005-0000-0000-0000EF580000}"/>
    <cellStyle name="Note 3 3 2 3 2 2 2" xfId="17856" xr:uid="{00000000-0005-0000-0000-0000F0580000}"/>
    <cellStyle name="Note 3 3 2 3 2 2 2 2" xfId="17857" xr:uid="{00000000-0005-0000-0000-0000F1580000}"/>
    <cellStyle name="Note 3 3 2 3 2 2 2 3" xfId="23698" xr:uid="{00000000-0005-0000-0000-0000F2580000}"/>
    <cellStyle name="Note 3 3 2 3 2 2 3" xfId="17858" xr:uid="{00000000-0005-0000-0000-0000F3580000}"/>
    <cellStyle name="Note 3 3 2 3 2 2 4" xfId="21115" xr:uid="{00000000-0005-0000-0000-0000F4580000}"/>
    <cellStyle name="Note 3 3 2 3 2 3" xfId="17859" xr:uid="{00000000-0005-0000-0000-0000F5580000}"/>
    <cellStyle name="Note 3 3 2 3 2 3 2" xfId="17860" xr:uid="{00000000-0005-0000-0000-0000F6580000}"/>
    <cellStyle name="Note 3 3 2 3 2 3 3" xfId="22408" xr:uid="{00000000-0005-0000-0000-0000F7580000}"/>
    <cellStyle name="Note 3 3 2 3 2 4" xfId="17861" xr:uid="{00000000-0005-0000-0000-0000F8580000}"/>
    <cellStyle name="Note 3 3 2 3 2 5" xfId="19821" xr:uid="{00000000-0005-0000-0000-0000F9580000}"/>
    <cellStyle name="Note 3 3 2 3 3" xfId="17862" xr:uid="{00000000-0005-0000-0000-0000FA580000}"/>
    <cellStyle name="Note 3 3 2 3 3 2" xfId="17863" xr:uid="{00000000-0005-0000-0000-0000FB580000}"/>
    <cellStyle name="Note 3 3 2 3 3 2 2" xfId="17864" xr:uid="{00000000-0005-0000-0000-0000FC580000}"/>
    <cellStyle name="Note 3 3 2 3 3 2 3" xfId="23053" xr:uid="{00000000-0005-0000-0000-0000FD580000}"/>
    <cellStyle name="Note 3 3 2 3 3 3" xfId="17865" xr:uid="{00000000-0005-0000-0000-0000FE580000}"/>
    <cellStyle name="Note 3 3 2 3 3 4" xfId="20470" xr:uid="{00000000-0005-0000-0000-0000FF580000}"/>
    <cellStyle name="Note 3 3 2 3 4" xfId="17866" xr:uid="{00000000-0005-0000-0000-000000590000}"/>
    <cellStyle name="Note 3 3 2 3 4 2" xfId="17867" xr:uid="{00000000-0005-0000-0000-000001590000}"/>
    <cellStyle name="Note 3 3 2 3 4 3" xfId="21763" xr:uid="{00000000-0005-0000-0000-000002590000}"/>
    <cellStyle name="Note 3 3 2 3 5" xfId="17868" xr:uid="{00000000-0005-0000-0000-000003590000}"/>
    <cellStyle name="Note 3 3 2 3 6" xfId="19173" xr:uid="{00000000-0005-0000-0000-000004590000}"/>
    <cellStyle name="Note 3 3 2 4" xfId="17869" xr:uid="{00000000-0005-0000-0000-000005590000}"/>
    <cellStyle name="Note 3 3 2 4 2" xfId="17870" xr:uid="{00000000-0005-0000-0000-000006590000}"/>
    <cellStyle name="Note 3 3 2 4 2 2" xfId="17871" xr:uid="{00000000-0005-0000-0000-000007590000}"/>
    <cellStyle name="Note 3 3 2 4 2 2 2" xfId="17872" xr:uid="{00000000-0005-0000-0000-000008590000}"/>
    <cellStyle name="Note 3 3 2 4 2 2 3" xfId="23376" xr:uid="{00000000-0005-0000-0000-000009590000}"/>
    <cellStyle name="Note 3 3 2 4 2 3" xfId="17873" xr:uid="{00000000-0005-0000-0000-00000A590000}"/>
    <cellStyle name="Note 3 3 2 4 2 4" xfId="20793" xr:uid="{00000000-0005-0000-0000-00000B590000}"/>
    <cellStyle name="Note 3 3 2 4 3" xfId="17874" xr:uid="{00000000-0005-0000-0000-00000C590000}"/>
    <cellStyle name="Note 3 3 2 4 3 2" xfId="17875" xr:uid="{00000000-0005-0000-0000-00000D590000}"/>
    <cellStyle name="Note 3 3 2 4 3 3" xfId="22086" xr:uid="{00000000-0005-0000-0000-00000E590000}"/>
    <cellStyle name="Note 3 3 2 4 4" xfId="17876" xr:uid="{00000000-0005-0000-0000-00000F590000}"/>
    <cellStyle name="Note 3 3 2 4 5" xfId="19499" xr:uid="{00000000-0005-0000-0000-000010590000}"/>
    <cellStyle name="Note 3 3 2 5" xfId="17877" xr:uid="{00000000-0005-0000-0000-000011590000}"/>
    <cellStyle name="Note 3 3 2 5 2" xfId="17878" xr:uid="{00000000-0005-0000-0000-000012590000}"/>
    <cellStyle name="Note 3 3 2 5 2 2" xfId="17879" xr:uid="{00000000-0005-0000-0000-000013590000}"/>
    <cellStyle name="Note 3 3 2 5 2 3" xfId="22731" xr:uid="{00000000-0005-0000-0000-000014590000}"/>
    <cellStyle name="Note 3 3 2 5 3" xfId="17880" xr:uid="{00000000-0005-0000-0000-000015590000}"/>
    <cellStyle name="Note 3 3 2 5 4" xfId="20148" xr:uid="{00000000-0005-0000-0000-000016590000}"/>
    <cellStyle name="Note 3 3 2 6" xfId="17881" xr:uid="{00000000-0005-0000-0000-000017590000}"/>
    <cellStyle name="Note 3 3 2 6 2" xfId="17882" xr:uid="{00000000-0005-0000-0000-000018590000}"/>
    <cellStyle name="Note 3 3 2 6 3" xfId="21441" xr:uid="{00000000-0005-0000-0000-000019590000}"/>
    <cellStyle name="Note 3 3 2 7" xfId="17883" xr:uid="{00000000-0005-0000-0000-00001A590000}"/>
    <cellStyle name="Note 3 3 2 8" xfId="18843" xr:uid="{00000000-0005-0000-0000-00001B590000}"/>
    <cellStyle name="Note 3 3 3" xfId="17884" xr:uid="{00000000-0005-0000-0000-00001C590000}"/>
    <cellStyle name="Note 3 3 3 2" xfId="17885" xr:uid="{00000000-0005-0000-0000-00001D590000}"/>
    <cellStyle name="Note 3 3 3 2 2" xfId="17886" xr:uid="{00000000-0005-0000-0000-00001E590000}"/>
    <cellStyle name="Note 3 3 3 2 2 2" xfId="17887" xr:uid="{00000000-0005-0000-0000-00001F590000}"/>
    <cellStyle name="Note 3 3 3 2 2 2 2" xfId="17888" xr:uid="{00000000-0005-0000-0000-000020590000}"/>
    <cellStyle name="Note 3 3 3 2 2 2 2 2" xfId="17889" xr:uid="{00000000-0005-0000-0000-000021590000}"/>
    <cellStyle name="Note 3 3 3 2 2 2 2 3" xfId="23779" xr:uid="{00000000-0005-0000-0000-000022590000}"/>
    <cellStyle name="Note 3 3 3 2 2 2 3" xfId="17890" xr:uid="{00000000-0005-0000-0000-000023590000}"/>
    <cellStyle name="Note 3 3 3 2 2 2 4" xfId="21196" xr:uid="{00000000-0005-0000-0000-000024590000}"/>
    <cellStyle name="Note 3 3 3 2 2 3" xfId="17891" xr:uid="{00000000-0005-0000-0000-000025590000}"/>
    <cellStyle name="Note 3 3 3 2 2 3 2" xfId="17892" xr:uid="{00000000-0005-0000-0000-000026590000}"/>
    <cellStyle name="Note 3 3 3 2 2 3 3" xfId="22489" xr:uid="{00000000-0005-0000-0000-000027590000}"/>
    <cellStyle name="Note 3 3 3 2 2 4" xfId="17893" xr:uid="{00000000-0005-0000-0000-000028590000}"/>
    <cellStyle name="Note 3 3 3 2 2 5" xfId="19902" xr:uid="{00000000-0005-0000-0000-000029590000}"/>
    <cellStyle name="Note 3 3 3 2 3" xfId="17894" xr:uid="{00000000-0005-0000-0000-00002A590000}"/>
    <cellStyle name="Note 3 3 3 2 3 2" xfId="17895" xr:uid="{00000000-0005-0000-0000-00002B590000}"/>
    <cellStyle name="Note 3 3 3 2 3 2 2" xfId="17896" xr:uid="{00000000-0005-0000-0000-00002C590000}"/>
    <cellStyle name="Note 3 3 3 2 3 2 3" xfId="23134" xr:uid="{00000000-0005-0000-0000-00002D590000}"/>
    <cellStyle name="Note 3 3 3 2 3 3" xfId="17897" xr:uid="{00000000-0005-0000-0000-00002E590000}"/>
    <cellStyle name="Note 3 3 3 2 3 4" xfId="20551" xr:uid="{00000000-0005-0000-0000-00002F590000}"/>
    <cellStyle name="Note 3 3 3 2 4" xfId="17898" xr:uid="{00000000-0005-0000-0000-000030590000}"/>
    <cellStyle name="Note 3 3 3 2 4 2" xfId="17899" xr:uid="{00000000-0005-0000-0000-000031590000}"/>
    <cellStyle name="Note 3 3 3 2 4 3" xfId="21844" xr:uid="{00000000-0005-0000-0000-000032590000}"/>
    <cellStyle name="Note 3 3 3 2 5" xfId="17900" xr:uid="{00000000-0005-0000-0000-000033590000}"/>
    <cellStyle name="Note 3 3 3 2 6" xfId="19254" xr:uid="{00000000-0005-0000-0000-000034590000}"/>
    <cellStyle name="Note 3 3 3 3" xfId="17901" xr:uid="{00000000-0005-0000-0000-000035590000}"/>
    <cellStyle name="Note 3 3 3 3 2" xfId="17902" xr:uid="{00000000-0005-0000-0000-000036590000}"/>
    <cellStyle name="Note 3 3 3 3 2 2" xfId="17903" xr:uid="{00000000-0005-0000-0000-000037590000}"/>
    <cellStyle name="Note 3 3 3 3 2 2 2" xfId="17904" xr:uid="{00000000-0005-0000-0000-000038590000}"/>
    <cellStyle name="Note 3 3 3 3 2 2 3" xfId="23457" xr:uid="{00000000-0005-0000-0000-000039590000}"/>
    <cellStyle name="Note 3 3 3 3 2 3" xfId="17905" xr:uid="{00000000-0005-0000-0000-00003A590000}"/>
    <cellStyle name="Note 3 3 3 3 2 4" xfId="20874" xr:uid="{00000000-0005-0000-0000-00003B590000}"/>
    <cellStyle name="Note 3 3 3 3 3" xfId="17906" xr:uid="{00000000-0005-0000-0000-00003C590000}"/>
    <cellStyle name="Note 3 3 3 3 3 2" xfId="17907" xr:uid="{00000000-0005-0000-0000-00003D590000}"/>
    <cellStyle name="Note 3 3 3 3 3 3" xfId="22167" xr:uid="{00000000-0005-0000-0000-00003E590000}"/>
    <cellStyle name="Note 3 3 3 3 4" xfId="17908" xr:uid="{00000000-0005-0000-0000-00003F590000}"/>
    <cellStyle name="Note 3 3 3 3 5" xfId="19580" xr:uid="{00000000-0005-0000-0000-000040590000}"/>
    <cellStyle name="Note 3 3 3 4" xfId="17909" xr:uid="{00000000-0005-0000-0000-000041590000}"/>
    <cellStyle name="Note 3 3 3 4 2" xfId="17910" xr:uid="{00000000-0005-0000-0000-000042590000}"/>
    <cellStyle name="Note 3 3 3 4 2 2" xfId="17911" xr:uid="{00000000-0005-0000-0000-000043590000}"/>
    <cellStyle name="Note 3 3 3 4 2 3" xfId="22812" xr:uid="{00000000-0005-0000-0000-000044590000}"/>
    <cellStyle name="Note 3 3 3 4 3" xfId="17912" xr:uid="{00000000-0005-0000-0000-000045590000}"/>
    <cellStyle name="Note 3 3 3 4 4" xfId="20229" xr:uid="{00000000-0005-0000-0000-000046590000}"/>
    <cellStyle name="Note 3 3 3 5" xfId="17913" xr:uid="{00000000-0005-0000-0000-000047590000}"/>
    <cellStyle name="Note 3 3 3 5 2" xfId="17914" xr:uid="{00000000-0005-0000-0000-000048590000}"/>
    <cellStyle name="Note 3 3 3 5 3" xfId="21522" xr:uid="{00000000-0005-0000-0000-000049590000}"/>
    <cellStyle name="Note 3 3 3 6" xfId="17915" xr:uid="{00000000-0005-0000-0000-00004A590000}"/>
    <cellStyle name="Note 3 3 3 7" xfId="18928" xr:uid="{00000000-0005-0000-0000-00004B590000}"/>
    <cellStyle name="Note 3 3 4" xfId="17916" xr:uid="{00000000-0005-0000-0000-00004C590000}"/>
    <cellStyle name="Note 3 3 4 2" xfId="17917" xr:uid="{00000000-0005-0000-0000-00004D590000}"/>
    <cellStyle name="Note 3 3 4 2 2" xfId="17918" xr:uid="{00000000-0005-0000-0000-00004E590000}"/>
    <cellStyle name="Note 3 3 4 2 2 2" xfId="17919" xr:uid="{00000000-0005-0000-0000-00004F590000}"/>
    <cellStyle name="Note 3 3 4 2 2 2 2" xfId="17920" xr:uid="{00000000-0005-0000-0000-000050590000}"/>
    <cellStyle name="Note 3 3 4 2 2 2 3" xfId="23618" xr:uid="{00000000-0005-0000-0000-000051590000}"/>
    <cellStyle name="Note 3 3 4 2 2 3" xfId="17921" xr:uid="{00000000-0005-0000-0000-000052590000}"/>
    <cellStyle name="Note 3 3 4 2 2 4" xfId="21035" xr:uid="{00000000-0005-0000-0000-000053590000}"/>
    <cellStyle name="Note 3 3 4 2 3" xfId="17922" xr:uid="{00000000-0005-0000-0000-000054590000}"/>
    <cellStyle name="Note 3 3 4 2 3 2" xfId="17923" xr:uid="{00000000-0005-0000-0000-000055590000}"/>
    <cellStyle name="Note 3 3 4 2 3 3" xfId="22328" xr:uid="{00000000-0005-0000-0000-000056590000}"/>
    <cellStyle name="Note 3 3 4 2 4" xfId="17924" xr:uid="{00000000-0005-0000-0000-000057590000}"/>
    <cellStyle name="Note 3 3 4 2 5" xfId="19741" xr:uid="{00000000-0005-0000-0000-000058590000}"/>
    <cellStyle name="Note 3 3 4 3" xfId="17925" xr:uid="{00000000-0005-0000-0000-000059590000}"/>
    <cellStyle name="Note 3 3 4 3 2" xfId="17926" xr:uid="{00000000-0005-0000-0000-00005A590000}"/>
    <cellStyle name="Note 3 3 4 3 2 2" xfId="17927" xr:uid="{00000000-0005-0000-0000-00005B590000}"/>
    <cellStyle name="Note 3 3 4 3 2 3" xfId="22973" xr:uid="{00000000-0005-0000-0000-00005C590000}"/>
    <cellStyle name="Note 3 3 4 3 3" xfId="17928" xr:uid="{00000000-0005-0000-0000-00005D590000}"/>
    <cellStyle name="Note 3 3 4 3 4" xfId="20390" xr:uid="{00000000-0005-0000-0000-00005E590000}"/>
    <cellStyle name="Note 3 3 4 4" xfId="17929" xr:uid="{00000000-0005-0000-0000-00005F590000}"/>
    <cellStyle name="Note 3 3 4 4 2" xfId="17930" xr:uid="{00000000-0005-0000-0000-000060590000}"/>
    <cellStyle name="Note 3 3 4 4 3" xfId="21683" xr:uid="{00000000-0005-0000-0000-000061590000}"/>
    <cellStyle name="Note 3 3 4 5" xfId="17931" xr:uid="{00000000-0005-0000-0000-000062590000}"/>
    <cellStyle name="Note 3 3 4 6" xfId="19093" xr:uid="{00000000-0005-0000-0000-000063590000}"/>
    <cellStyle name="Note 3 3 5" xfId="17932" xr:uid="{00000000-0005-0000-0000-000064590000}"/>
    <cellStyle name="Note 3 3 5 2" xfId="17933" xr:uid="{00000000-0005-0000-0000-000065590000}"/>
    <cellStyle name="Note 3 3 5 2 2" xfId="17934" xr:uid="{00000000-0005-0000-0000-000066590000}"/>
    <cellStyle name="Note 3 3 5 2 2 2" xfId="17935" xr:uid="{00000000-0005-0000-0000-000067590000}"/>
    <cellStyle name="Note 3 3 5 2 2 3" xfId="23295" xr:uid="{00000000-0005-0000-0000-000068590000}"/>
    <cellStyle name="Note 3 3 5 2 3" xfId="17936" xr:uid="{00000000-0005-0000-0000-000069590000}"/>
    <cellStyle name="Note 3 3 5 2 4" xfId="20712" xr:uid="{00000000-0005-0000-0000-00006A590000}"/>
    <cellStyle name="Note 3 3 5 3" xfId="17937" xr:uid="{00000000-0005-0000-0000-00006B590000}"/>
    <cellStyle name="Note 3 3 5 3 2" xfId="17938" xr:uid="{00000000-0005-0000-0000-00006C590000}"/>
    <cellStyle name="Note 3 3 5 3 3" xfId="22005" xr:uid="{00000000-0005-0000-0000-00006D590000}"/>
    <cellStyle name="Note 3 3 5 4" xfId="17939" xr:uid="{00000000-0005-0000-0000-00006E590000}"/>
    <cellStyle name="Note 3 3 5 5" xfId="19419" xr:uid="{00000000-0005-0000-0000-00006F590000}"/>
    <cellStyle name="Note 3 3 6" xfId="17940" xr:uid="{00000000-0005-0000-0000-000070590000}"/>
    <cellStyle name="Note 3 3 6 2" xfId="17941" xr:uid="{00000000-0005-0000-0000-000071590000}"/>
    <cellStyle name="Note 3 3 6 2 2" xfId="17942" xr:uid="{00000000-0005-0000-0000-000072590000}"/>
    <cellStyle name="Note 3 3 6 2 3" xfId="22650" xr:uid="{00000000-0005-0000-0000-000073590000}"/>
    <cellStyle name="Note 3 3 6 3" xfId="17943" xr:uid="{00000000-0005-0000-0000-000074590000}"/>
    <cellStyle name="Note 3 3 6 4" xfId="20067" xr:uid="{00000000-0005-0000-0000-000075590000}"/>
    <cellStyle name="Note 3 3 7" xfId="17944" xr:uid="{00000000-0005-0000-0000-000076590000}"/>
    <cellStyle name="Note 3 3 7 2" xfId="17945" xr:uid="{00000000-0005-0000-0000-000077590000}"/>
    <cellStyle name="Note 3 3 7 3" xfId="21360" xr:uid="{00000000-0005-0000-0000-000078590000}"/>
    <cellStyle name="Note 3 3 8" xfId="17946" xr:uid="{00000000-0005-0000-0000-000079590000}"/>
    <cellStyle name="Note 3 3 9" xfId="18746" xr:uid="{00000000-0005-0000-0000-00007A590000}"/>
    <cellStyle name="Note 3 4" xfId="17947" xr:uid="{00000000-0005-0000-0000-00007B590000}"/>
    <cellStyle name="Note 3 4 2" xfId="17948" xr:uid="{00000000-0005-0000-0000-00007C590000}"/>
    <cellStyle name="Note 3 4 2 2" xfId="17949" xr:uid="{00000000-0005-0000-0000-00007D590000}"/>
    <cellStyle name="Note 3 4 2 2 2" xfId="17950" xr:uid="{00000000-0005-0000-0000-00007E590000}"/>
    <cellStyle name="Note 3 4 2 2 2 2" xfId="17951" xr:uid="{00000000-0005-0000-0000-00007F590000}"/>
    <cellStyle name="Note 3 4 2 2 2 2 2" xfId="17952" xr:uid="{00000000-0005-0000-0000-000080590000}"/>
    <cellStyle name="Note 3 4 2 2 2 2 2 2" xfId="17953" xr:uid="{00000000-0005-0000-0000-000081590000}"/>
    <cellStyle name="Note 3 4 2 2 2 2 2 3" xfId="23819" xr:uid="{00000000-0005-0000-0000-000082590000}"/>
    <cellStyle name="Note 3 4 2 2 2 2 3" xfId="17954" xr:uid="{00000000-0005-0000-0000-000083590000}"/>
    <cellStyle name="Note 3 4 2 2 2 2 4" xfId="21236" xr:uid="{00000000-0005-0000-0000-000084590000}"/>
    <cellStyle name="Note 3 4 2 2 2 3" xfId="17955" xr:uid="{00000000-0005-0000-0000-000085590000}"/>
    <cellStyle name="Note 3 4 2 2 2 3 2" xfId="17956" xr:uid="{00000000-0005-0000-0000-000086590000}"/>
    <cellStyle name="Note 3 4 2 2 2 3 3" xfId="22529" xr:uid="{00000000-0005-0000-0000-000087590000}"/>
    <cellStyle name="Note 3 4 2 2 2 4" xfId="17957" xr:uid="{00000000-0005-0000-0000-000088590000}"/>
    <cellStyle name="Note 3 4 2 2 2 5" xfId="19942" xr:uid="{00000000-0005-0000-0000-000089590000}"/>
    <cellStyle name="Note 3 4 2 2 3" xfId="17958" xr:uid="{00000000-0005-0000-0000-00008A590000}"/>
    <cellStyle name="Note 3 4 2 2 3 2" xfId="17959" xr:uid="{00000000-0005-0000-0000-00008B590000}"/>
    <cellStyle name="Note 3 4 2 2 3 2 2" xfId="17960" xr:uid="{00000000-0005-0000-0000-00008C590000}"/>
    <cellStyle name="Note 3 4 2 2 3 2 3" xfId="23174" xr:uid="{00000000-0005-0000-0000-00008D590000}"/>
    <cellStyle name="Note 3 4 2 2 3 3" xfId="17961" xr:uid="{00000000-0005-0000-0000-00008E590000}"/>
    <cellStyle name="Note 3 4 2 2 3 4" xfId="20591" xr:uid="{00000000-0005-0000-0000-00008F590000}"/>
    <cellStyle name="Note 3 4 2 2 4" xfId="17962" xr:uid="{00000000-0005-0000-0000-000090590000}"/>
    <cellStyle name="Note 3 4 2 2 4 2" xfId="17963" xr:uid="{00000000-0005-0000-0000-000091590000}"/>
    <cellStyle name="Note 3 4 2 2 4 3" xfId="21884" xr:uid="{00000000-0005-0000-0000-000092590000}"/>
    <cellStyle name="Note 3 4 2 2 5" xfId="17964" xr:uid="{00000000-0005-0000-0000-000093590000}"/>
    <cellStyle name="Note 3 4 2 2 6" xfId="19294" xr:uid="{00000000-0005-0000-0000-000094590000}"/>
    <cellStyle name="Note 3 4 2 3" xfId="17965" xr:uid="{00000000-0005-0000-0000-000095590000}"/>
    <cellStyle name="Note 3 4 2 3 2" xfId="17966" xr:uid="{00000000-0005-0000-0000-000096590000}"/>
    <cellStyle name="Note 3 4 2 3 2 2" xfId="17967" xr:uid="{00000000-0005-0000-0000-000097590000}"/>
    <cellStyle name="Note 3 4 2 3 2 2 2" xfId="17968" xr:uid="{00000000-0005-0000-0000-000098590000}"/>
    <cellStyle name="Note 3 4 2 3 2 2 3" xfId="23497" xr:uid="{00000000-0005-0000-0000-000099590000}"/>
    <cellStyle name="Note 3 4 2 3 2 3" xfId="17969" xr:uid="{00000000-0005-0000-0000-00009A590000}"/>
    <cellStyle name="Note 3 4 2 3 2 4" xfId="20914" xr:uid="{00000000-0005-0000-0000-00009B590000}"/>
    <cellStyle name="Note 3 4 2 3 3" xfId="17970" xr:uid="{00000000-0005-0000-0000-00009C590000}"/>
    <cellStyle name="Note 3 4 2 3 3 2" xfId="17971" xr:uid="{00000000-0005-0000-0000-00009D590000}"/>
    <cellStyle name="Note 3 4 2 3 3 3" xfId="22207" xr:uid="{00000000-0005-0000-0000-00009E590000}"/>
    <cellStyle name="Note 3 4 2 3 4" xfId="17972" xr:uid="{00000000-0005-0000-0000-00009F590000}"/>
    <cellStyle name="Note 3 4 2 3 5" xfId="19620" xr:uid="{00000000-0005-0000-0000-0000A0590000}"/>
    <cellStyle name="Note 3 4 2 4" xfId="17973" xr:uid="{00000000-0005-0000-0000-0000A1590000}"/>
    <cellStyle name="Note 3 4 2 4 2" xfId="17974" xr:uid="{00000000-0005-0000-0000-0000A2590000}"/>
    <cellStyle name="Note 3 4 2 4 2 2" xfId="17975" xr:uid="{00000000-0005-0000-0000-0000A3590000}"/>
    <cellStyle name="Note 3 4 2 4 2 3" xfId="22852" xr:uid="{00000000-0005-0000-0000-0000A4590000}"/>
    <cellStyle name="Note 3 4 2 4 3" xfId="17976" xr:uid="{00000000-0005-0000-0000-0000A5590000}"/>
    <cellStyle name="Note 3 4 2 4 4" xfId="20269" xr:uid="{00000000-0005-0000-0000-0000A6590000}"/>
    <cellStyle name="Note 3 4 2 5" xfId="17977" xr:uid="{00000000-0005-0000-0000-0000A7590000}"/>
    <cellStyle name="Note 3 4 2 5 2" xfId="17978" xr:uid="{00000000-0005-0000-0000-0000A8590000}"/>
    <cellStyle name="Note 3 4 2 5 3" xfId="21562" xr:uid="{00000000-0005-0000-0000-0000A9590000}"/>
    <cellStyle name="Note 3 4 2 6" xfId="17979" xr:uid="{00000000-0005-0000-0000-0000AA590000}"/>
    <cellStyle name="Note 3 4 2 7" xfId="18968" xr:uid="{00000000-0005-0000-0000-0000AB590000}"/>
    <cellStyle name="Note 3 4 3" xfId="17980" xr:uid="{00000000-0005-0000-0000-0000AC590000}"/>
    <cellStyle name="Note 3 4 3 2" xfId="17981" xr:uid="{00000000-0005-0000-0000-0000AD590000}"/>
    <cellStyle name="Note 3 4 3 2 2" xfId="17982" xr:uid="{00000000-0005-0000-0000-0000AE590000}"/>
    <cellStyle name="Note 3 4 3 2 2 2" xfId="17983" xr:uid="{00000000-0005-0000-0000-0000AF590000}"/>
    <cellStyle name="Note 3 4 3 2 2 2 2" xfId="17984" xr:uid="{00000000-0005-0000-0000-0000B0590000}"/>
    <cellStyle name="Note 3 4 3 2 2 2 3" xfId="23658" xr:uid="{00000000-0005-0000-0000-0000B1590000}"/>
    <cellStyle name="Note 3 4 3 2 2 3" xfId="17985" xr:uid="{00000000-0005-0000-0000-0000B2590000}"/>
    <cellStyle name="Note 3 4 3 2 2 4" xfId="21075" xr:uid="{00000000-0005-0000-0000-0000B3590000}"/>
    <cellStyle name="Note 3 4 3 2 3" xfId="17986" xr:uid="{00000000-0005-0000-0000-0000B4590000}"/>
    <cellStyle name="Note 3 4 3 2 3 2" xfId="17987" xr:uid="{00000000-0005-0000-0000-0000B5590000}"/>
    <cellStyle name="Note 3 4 3 2 3 3" xfId="22368" xr:uid="{00000000-0005-0000-0000-0000B6590000}"/>
    <cellStyle name="Note 3 4 3 2 4" xfId="17988" xr:uid="{00000000-0005-0000-0000-0000B7590000}"/>
    <cellStyle name="Note 3 4 3 2 5" xfId="19781" xr:uid="{00000000-0005-0000-0000-0000B8590000}"/>
    <cellStyle name="Note 3 4 3 3" xfId="17989" xr:uid="{00000000-0005-0000-0000-0000B9590000}"/>
    <cellStyle name="Note 3 4 3 3 2" xfId="17990" xr:uid="{00000000-0005-0000-0000-0000BA590000}"/>
    <cellStyle name="Note 3 4 3 3 2 2" xfId="17991" xr:uid="{00000000-0005-0000-0000-0000BB590000}"/>
    <cellStyle name="Note 3 4 3 3 2 3" xfId="23013" xr:uid="{00000000-0005-0000-0000-0000BC590000}"/>
    <cellStyle name="Note 3 4 3 3 3" xfId="17992" xr:uid="{00000000-0005-0000-0000-0000BD590000}"/>
    <cellStyle name="Note 3 4 3 3 4" xfId="20430" xr:uid="{00000000-0005-0000-0000-0000BE590000}"/>
    <cellStyle name="Note 3 4 3 4" xfId="17993" xr:uid="{00000000-0005-0000-0000-0000BF590000}"/>
    <cellStyle name="Note 3 4 3 4 2" xfId="17994" xr:uid="{00000000-0005-0000-0000-0000C0590000}"/>
    <cellStyle name="Note 3 4 3 4 3" xfId="21723" xr:uid="{00000000-0005-0000-0000-0000C1590000}"/>
    <cellStyle name="Note 3 4 3 5" xfId="17995" xr:uid="{00000000-0005-0000-0000-0000C2590000}"/>
    <cellStyle name="Note 3 4 3 6" xfId="19133" xr:uid="{00000000-0005-0000-0000-0000C3590000}"/>
    <cellStyle name="Note 3 4 4" xfId="17996" xr:uid="{00000000-0005-0000-0000-0000C4590000}"/>
    <cellStyle name="Note 3 4 4 2" xfId="17997" xr:uid="{00000000-0005-0000-0000-0000C5590000}"/>
    <cellStyle name="Note 3 4 4 2 2" xfId="17998" xr:uid="{00000000-0005-0000-0000-0000C6590000}"/>
    <cellStyle name="Note 3 4 4 2 2 2" xfId="17999" xr:uid="{00000000-0005-0000-0000-0000C7590000}"/>
    <cellStyle name="Note 3 4 4 2 2 3" xfId="23336" xr:uid="{00000000-0005-0000-0000-0000C8590000}"/>
    <cellStyle name="Note 3 4 4 2 3" xfId="18000" xr:uid="{00000000-0005-0000-0000-0000C9590000}"/>
    <cellStyle name="Note 3 4 4 2 4" xfId="20753" xr:uid="{00000000-0005-0000-0000-0000CA590000}"/>
    <cellStyle name="Note 3 4 4 3" xfId="18001" xr:uid="{00000000-0005-0000-0000-0000CB590000}"/>
    <cellStyle name="Note 3 4 4 3 2" xfId="18002" xr:uid="{00000000-0005-0000-0000-0000CC590000}"/>
    <cellStyle name="Note 3 4 4 3 3" xfId="22046" xr:uid="{00000000-0005-0000-0000-0000CD590000}"/>
    <cellStyle name="Note 3 4 4 4" xfId="18003" xr:uid="{00000000-0005-0000-0000-0000CE590000}"/>
    <cellStyle name="Note 3 4 4 5" xfId="19459" xr:uid="{00000000-0005-0000-0000-0000CF590000}"/>
    <cellStyle name="Note 3 4 5" xfId="18004" xr:uid="{00000000-0005-0000-0000-0000D0590000}"/>
    <cellStyle name="Note 3 4 5 2" xfId="18005" xr:uid="{00000000-0005-0000-0000-0000D1590000}"/>
    <cellStyle name="Note 3 4 5 2 2" xfId="18006" xr:uid="{00000000-0005-0000-0000-0000D2590000}"/>
    <cellStyle name="Note 3 4 5 2 3" xfId="22691" xr:uid="{00000000-0005-0000-0000-0000D3590000}"/>
    <cellStyle name="Note 3 4 5 3" xfId="18007" xr:uid="{00000000-0005-0000-0000-0000D4590000}"/>
    <cellStyle name="Note 3 4 5 4" xfId="20108" xr:uid="{00000000-0005-0000-0000-0000D5590000}"/>
    <cellStyle name="Note 3 4 6" xfId="18008" xr:uid="{00000000-0005-0000-0000-0000D6590000}"/>
    <cellStyle name="Note 3 4 6 2" xfId="18009" xr:uid="{00000000-0005-0000-0000-0000D7590000}"/>
    <cellStyle name="Note 3 4 6 3" xfId="21401" xr:uid="{00000000-0005-0000-0000-0000D8590000}"/>
    <cellStyle name="Note 3 4 7" xfId="18010" xr:uid="{00000000-0005-0000-0000-0000D9590000}"/>
    <cellStyle name="Note 3 4 8" xfId="18800" xr:uid="{00000000-0005-0000-0000-0000DA590000}"/>
    <cellStyle name="Note 3 5" xfId="18011" xr:uid="{00000000-0005-0000-0000-0000DB590000}"/>
    <cellStyle name="Note 3 5 2" xfId="18012" xr:uid="{00000000-0005-0000-0000-0000DC590000}"/>
    <cellStyle name="Note 3 5 2 2" xfId="18013" xr:uid="{00000000-0005-0000-0000-0000DD590000}"/>
    <cellStyle name="Note 3 5 2 2 2" xfId="18014" xr:uid="{00000000-0005-0000-0000-0000DE590000}"/>
    <cellStyle name="Note 3 5 2 2 2 2" xfId="18015" xr:uid="{00000000-0005-0000-0000-0000DF590000}"/>
    <cellStyle name="Note 3 5 2 2 2 2 2" xfId="18016" xr:uid="{00000000-0005-0000-0000-0000E0590000}"/>
    <cellStyle name="Note 3 5 2 2 2 2 3" xfId="23739" xr:uid="{00000000-0005-0000-0000-0000E1590000}"/>
    <cellStyle name="Note 3 5 2 2 2 3" xfId="18017" xr:uid="{00000000-0005-0000-0000-0000E2590000}"/>
    <cellStyle name="Note 3 5 2 2 2 4" xfId="21156" xr:uid="{00000000-0005-0000-0000-0000E3590000}"/>
    <cellStyle name="Note 3 5 2 2 3" xfId="18018" xr:uid="{00000000-0005-0000-0000-0000E4590000}"/>
    <cellStyle name="Note 3 5 2 2 3 2" xfId="18019" xr:uid="{00000000-0005-0000-0000-0000E5590000}"/>
    <cellStyle name="Note 3 5 2 2 3 3" xfId="22449" xr:uid="{00000000-0005-0000-0000-0000E6590000}"/>
    <cellStyle name="Note 3 5 2 2 4" xfId="18020" xr:uid="{00000000-0005-0000-0000-0000E7590000}"/>
    <cellStyle name="Note 3 5 2 2 5" xfId="19862" xr:uid="{00000000-0005-0000-0000-0000E8590000}"/>
    <cellStyle name="Note 3 5 2 3" xfId="18021" xr:uid="{00000000-0005-0000-0000-0000E9590000}"/>
    <cellStyle name="Note 3 5 2 3 2" xfId="18022" xr:uid="{00000000-0005-0000-0000-0000EA590000}"/>
    <cellStyle name="Note 3 5 2 3 2 2" xfId="18023" xr:uid="{00000000-0005-0000-0000-0000EB590000}"/>
    <cellStyle name="Note 3 5 2 3 2 3" xfId="23094" xr:uid="{00000000-0005-0000-0000-0000EC590000}"/>
    <cellStyle name="Note 3 5 2 3 3" xfId="18024" xr:uid="{00000000-0005-0000-0000-0000ED590000}"/>
    <cellStyle name="Note 3 5 2 3 4" xfId="20511" xr:uid="{00000000-0005-0000-0000-0000EE590000}"/>
    <cellStyle name="Note 3 5 2 4" xfId="18025" xr:uid="{00000000-0005-0000-0000-0000EF590000}"/>
    <cellStyle name="Note 3 5 2 4 2" xfId="18026" xr:uid="{00000000-0005-0000-0000-0000F0590000}"/>
    <cellStyle name="Note 3 5 2 4 3" xfId="21804" xr:uid="{00000000-0005-0000-0000-0000F1590000}"/>
    <cellStyle name="Note 3 5 2 5" xfId="18027" xr:uid="{00000000-0005-0000-0000-0000F2590000}"/>
    <cellStyle name="Note 3 5 2 6" xfId="19214" xr:uid="{00000000-0005-0000-0000-0000F3590000}"/>
    <cellStyle name="Note 3 5 3" xfId="18028" xr:uid="{00000000-0005-0000-0000-0000F4590000}"/>
    <cellStyle name="Note 3 5 3 2" xfId="18029" xr:uid="{00000000-0005-0000-0000-0000F5590000}"/>
    <cellStyle name="Note 3 5 3 2 2" xfId="18030" xr:uid="{00000000-0005-0000-0000-0000F6590000}"/>
    <cellStyle name="Note 3 5 3 2 2 2" xfId="18031" xr:uid="{00000000-0005-0000-0000-0000F7590000}"/>
    <cellStyle name="Note 3 5 3 2 2 3" xfId="23417" xr:uid="{00000000-0005-0000-0000-0000F8590000}"/>
    <cellStyle name="Note 3 5 3 2 3" xfId="18032" xr:uid="{00000000-0005-0000-0000-0000F9590000}"/>
    <cellStyle name="Note 3 5 3 2 4" xfId="20834" xr:uid="{00000000-0005-0000-0000-0000FA590000}"/>
    <cellStyle name="Note 3 5 3 3" xfId="18033" xr:uid="{00000000-0005-0000-0000-0000FB590000}"/>
    <cellStyle name="Note 3 5 3 3 2" xfId="18034" xr:uid="{00000000-0005-0000-0000-0000FC590000}"/>
    <cellStyle name="Note 3 5 3 3 3" xfId="22127" xr:uid="{00000000-0005-0000-0000-0000FD590000}"/>
    <cellStyle name="Note 3 5 3 4" xfId="18035" xr:uid="{00000000-0005-0000-0000-0000FE590000}"/>
    <cellStyle name="Note 3 5 3 5" xfId="19540" xr:uid="{00000000-0005-0000-0000-0000FF590000}"/>
    <cellStyle name="Note 3 5 4" xfId="18036" xr:uid="{00000000-0005-0000-0000-0000005A0000}"/>
    <cellStyle name="Note 3 5 4 2" xfId="18037" xr:uid="{00000000-0005-0000-0000-0000015A0000}"/>
    <cellStyle name="Note 3 5 4 2 2" xfId="18038" xr:uid="{00000000-0005-0000-0000-0000025A0000}"/>
    <cellStyle name="Note 3 5 4 2 3" xfId="22772" xr:uid="{00000000-0005-0000-0000-0000035A0000}"/>
    <cellStyle name="Note 3 5 4 3" xfId="18039" xr:uid="{00000000-0005-0000-0000-0000045A0000}"/>
    <cellStyle name="Note 3 5 4 4" xfId="20189" xr:uid="{00000000-0005-0000-0000-0000055A0000}"/>
    <cellStyle name="Note 3 5 5" xfId="18040" xr:uid="{00000000-0005-0000-0000-0000065A0000}"/>
    <cellStyle name="Note 3 5 5 2" xfId="18041" xr:uid="{00000000-0005-0000-0000-0000075A0000}"/>
    <cellStyle name="Note 3 5 5 3" xfId="21482" xr:uid="{00000000-0005-0000-0000-0000085A0000}"/>
    <cellStyle name="Note 3 5 6" xfId="18042" xr:uid="{00000000-0005-0000-0000-0000095A0000}"/>
    <cellStyle name="Note 3 5 7" xfId="18888" xr:uid="{00000000-0005-0000-0000-00000A5A0000}"/>
    <cellStyle name="Note 3 6" xfId="18043" xr:uid="{00000000-0005-0000-0000-00000B5A0000}"/>
    <cellStyle name="Note 3 6 2" xfId="18044" xr:uid="{00000000-0005-0000-0000-00000C5A0000}"/>
    <cellStyle name="Note 3 6 2 2" xfId="18045" xr:uid="{00000000-0005-0000-0000-00000D5A0000}"/>
    <cellStyle name="Note 3 6 2 2 2" xfId="18046" xr:uid="{00000000-0005-0000-0000-00000E5A0000}"/>
    <cellStyle name="Note 3 6 2 2 2 2" xfId="18047" xr:uid="{00000000-0005-0000-0000-00000F5A0000}"/>
    <cellStyle name="Note 3 6 2 2 2 3" xfId="23578" xr:uid="{00000000-0005-0000-0000-0000105A0000}"/>
    <cellStyle name="Note 3 6 2 2 3" xfId="18048" xr:uid="{00000000-0005-0000-0000-0000115A0000}"/>
    <cellStyle name="Note 3 6 2 2 4" xfId="20995" xr:uid="{00000000-0005-0000-0000-0000125A0000}"/>
    <cellStyle name="Note 3 6 2 3" xfId="18049" xr:uid="{00000000-0005-0000-0000-0000135A0000}"/>
    <cellStyle name="Note 3 6 2 3 2" xfId="18050" xr:uid="{00000000-0005-0000-0000-0000145A0000}"/>
    <cellStyle name="Note 3 6 2 3 3" xfId="22288" xr:uid="{00000000-0005-0000-0000-0000155A0000}"/>
    <cellStyle name="Note 3 6 2 4" xfId="18051" xr:uid="{00000000-0005-0000-0000-0000165A0000}"/>
    <cellStyle name="Note 3 6 2 5" xfId="19701" xr:uid="{00000000-0005-0000-0000-0000175A0000}"/>
    <cellStyle name="Note 3 6 3" xfId="18052" xr:uid="{00000000-0005-0000-0000-0000185A0000}"/>
    <cellStyle name="Note 3 6 3 2" xfId="18053" xr:uid="{00000000-0005-0000-0000-0000195A0000}"/>
    <cellStyle name="Note 3 6 3 2 2" xfId="18054" xr:uid="{00000000-0005-0000-0000-00001A5A0000}"/>
    <cellStyle name="Note 3 6 3 2 3" xfId="22933" xr:uid="{00000000-0005-0000-0000-00001B5A0000}"/>
    <cellStyle name="Note 3 6 3 3" xfId="18055" xr:uid="{00000000-0005-0000-0000-00001C5A0000}"/>
    <cellStyle name="Note 3 6 3 4" xfId="20350" xr:uid="{00000000-0005-0000-0000-00001D5A0000}"/>
    <cellStyle name="Note 3 6 4" xfId="18056" xr:uid="{00000000-0005-0000-0000-00001E5A0000}"/>
    <cellStyle name="Note 3 6 4 2" xfId="18057" xr:uid="{00000000-0005-0000-0000-00001F5A0000}"/>
    <cellStyle name="Note 3 6 4 3" xfId="21643" xr:uid="{00000000-0005-0000-0000-0000205A0000}"/>
    <cellStyle name="Note 3 6 5" xfId="18058" xr:uid="{00000000-0005-0000-0000-0000215A0000}"/>
    <cellStyle name="Note 3 6 6" xfId="19053" xr:uid="{00000000-0005-0000-0000-0000225A0000}"/>
    <cellStyle name="Note 3 7" xfId="18059" xr:uid="{00000000-0005-0000-0000-0000235A0000}"/>
    <cellStyle name="Note 3 7 2" xfId="18060" xr:uid="{00000000-0005-0000-0000-0000245A0000}"/>
    <cellStyle name="Note 3 7 2 2" xfId="18061" xr:uid="{00000000-0005-0000-0000-0000255A0000}"/>
    <cellStyle name="Note 3 7 2 2 2" xfId="18062" xr:uid="{00000000-0005-0000-0000-0000265A0000}"/>
    <cellStyle name="Note 3 7 2 2 3" xfId="23255" xr:uid="{00000000-0005-0000-0000-0000275A0000}"/>
    <cellStyle name="Note 3 7 2 3" xfId="18063" xr:uid="{00000000-0005-0000-0000-0000285A0000}"/>
    <cellStyle name="Note 3 7 2 4" xfId="20672" xr:uid="{00000000-0005-0000-0000-0000295A0000}"/>
    <cellStyle name="Note 3 7 3" xfId="18064" xr:uid="{00000000-0005-0000-0000-00002A5A0000}"/>
    <cellStyle name="Note 3 7 3 2" xfId="18065" xr:uid="{00000000-0005-0000-0000-00002B5A0000}"/>
    <cellStyle name="Note 3 7 3 3" xfId="21965" xr:uid="{00000000-0005-0000-0000-00002C5A0000}"/>
    <cellStyle name="Note 3 7 4" xfId="18066" xr:uid="{00000000-0005-0000-0000-00002D5A0000}"/>
    <cellStyle name="Note 3 7 5" xfId="19379" xr:uid="{00000000-0005-0000-0000-00002E5A0000}"/>
    <cellStyle name="Note 3 8" xfId="18067" xr:uid="{00000000-0005-0000-0000-00002F5A0000}"/>
    <cellStyle name="Note 3 8 2" xfId="18068" xr:uid="{00000000-0005-0000-0000-0000305A0000}"/>
    <cellStyle name="Note 3 8 2 2" xfId="18069" xr:uid="{00000000-0005-0000-0000-0000315A0000}"/>
    <cellStyle name="Note 3 8 2 3" xfId="22610" xr:uid="{00000000-0005-0000-0000-0000325A0000}"/>
    <cellStyle name="Note 3 8 3" xfId="18070" xr:uid="{00000000-0005-0000-0000-0000335A0000}"/>
    <cellStyle name="Note 3 8 4" xfId="20027" xr:uid="{00000000-0005-0000-0000-0000345A0000}"/>
    <cellStyle name="Note 3 9" xfId="18071" xr:uid="{00000000-0005-0000-0000-0000355A0000}"/>
    <cellStyle name="Note 3 9 2" xfId="18072" xr:uid="{00000000-0005-0000-0000-0000365A0000}"/>
    <cellStyle name="Note 3 9 3" xfId="21320" xr:uid="{00000000-0005-0000-0000-0000375A0000}"/>
    <cellStyle name="Note 4" xfId="18073" xr:uid="{00000000-0005-0000-0000-0000385A0000}"/>
    <cellStyle name="Note 4 10" xfId="18708" xr:uid="{00000000-0005-0000-0000-0000395A0000}"/>
    <cellStyle name="Note 4 2" xfId="18074" xr:uid="{00000000-0005-0000-0000-00003A5A0000}"/>
    <cellStyle name="Note 4 2 2" xfId="18075" xr:uid="{00000000-0005-0000-0000-00003B5A0000}"/>
    <cellStyle name="Note 4 2 2 2" xfId="18076" xr:uid="{00000000-0005-0000-0000-00003C5A0000}"/>
    <cellStyle name="Note 4 2 2 2 2" xfId="18077" xr:uid="{00000000-0005-0000-0000-00003D5A0000}"/>
    <cellStyle name="Note 4 2 2 2 2 2" xfId="18078" xr:uid="{00000000-0005-0000-0000-00003E5A0000}"/>
    <cellStyle name="Note 4 2 2 2 2 2 2" xfId="18079" xr:uid="{00000000-0005-0000-0000-00003F5A0000}"/>
    <cellStyle name="Note 4 2 2 2 2 2 2 2" xfId="18080" xr:uid="{00000000-0005-0000-0000-0000405A0000}"/>
    <cellStyle name="Note 4 2 2 2 2 2 2 2 2" xfId="18081" xr:uid="{00000000-0005-0000-0000-0000415A0000}"/>
    <cellStyle name="Note 4 2 2 2 2 2 2 2 3" xfId="23869" xr:uid="{00000000-0005-0000-0000-0000425A0000}"/>
    <cellStyle name="Note 4 2 2 2 2 2 2 3" xfId="18082" xr:uid="{00000000-0005-0000-0000-0000435A0000}"/>
    <cellStyle name="Note 4 2 2 2 2 2 2 4" xfId="21286" xr:uid="{00000000-0005-0000-0000-0000445A0000}"/>
    <cellStyle name="Note 4 2 2 2 2 2 3" xfId="18083" xr:uid="{00000000-0005-0000-0000-0000455A0000}"/>
    <cellStyle name="Note 4 2 2 2 2 2 3 2" xfId="18084" xr:uid="{00000000-0005-0000-0000-0000465A0000}"/>
    <cellStyle name="Note 4 2 2 2 2 2 3 3" xfId="22579" xr:uid="{00000000-0005-0000-0000-0000475A0000}"/>
    <cellStyle name="Note 4 2 2 2 2 2 4" xfId="18085" xr:uid="{00000000-0005-0000-0000-0000485A0000}"/>
    <cellStyle name="Note 4 2 2 2 2 2 5" xfId="19992" xr:uid="{00000000-0005-0000-0000-0000495A0000}"/>
    <cellStyle name="Note 4 2 2 2 2 3" xfId="18086" xr:uid="{00000000-0005-0000-0000-00004A5A0000}"/>
    <cellStyle name="Note 4 2 2 2 2 3 2" xfId="18087" xr:uid="{00000000-0005-0000-0000-00004B5A0000}"/>
    <cellStyle name="Note 4 2 2 2 2 3 2 2" xfId="18088" xr:uid="{00000000-0005-0000-0000-00004C5A0000}"/>
    <cellStyle name="Note 4 2 2 2 2 3 2 3" xfId="23224" xr:uid="{00000000-0005-0000-0000-00004D5A0000}"/>
    <cellStyle name="Note 4 2 2 2 2 3 3" xfId="18089" xr:uid="{00000000-0005-0000-0000-00004E5A0000}"/>
    <cellStyle name="Note 4 2 2 2 2 3 4" xfId="20641" xr:uid="{00000000-0005-0000-0000-00004F5A0000}"/>
    <cellStyle name="Note 4 2 2 2 2 4" xfId="18090" xr:uid="{00000000-0005-0000-0000-0000505A0000}"/>
    <cellStyle name="Note 4 2 2 2 2 4 2" xfId="18091" xr:uid="{00000000-0005-0000-0000-0000515A0000}"/>
    <cellStyle name="Note 4 2 2 2 2 4 3" xfId="21934" xr:uid="{00000000-0005-0000-0000-0000525A0000}"/>
    <cellStyle name="Note 4 2 2 2 2 5" xfId="18092" xr:uid="{00000000-0005-0000-0000-0000535A0000}"/>
    <cellStyle name="Note 4 2 2 2 2 6" xfId="19344" xr:uid="{00000000-0005-0000-0000-0000545A0000}"/>
    <cellStyle name="Note 4 2 2 2 3" xfId="18093" xr:uid="{00000000-0005-0000-0000-0000555A0000}"/>
    <cellStyle name="Note 4 2 2 2 3 2" xfId="18094" xr:uid="{00000000-0005-0000-0000-0000565A0000}"/>
    <cellStyle name="Note 4 2 2 2 3 2 2" xfId="18095" xr:uid="{00000000-0005-0000-0000-0000575A0000}"/>
    <cellStyle name="Note 4 2 2 2 3 2 2 2" xfId="18096" xr:uid="{00000000-0005-0000-0000-0000585A0000}"/>
    <cellStyle name="Note 4 2 2 2 3 2 2 3" xfId="23547" xr:uid="{00000000-0005-0000-0000-0000595A0000}"/>
    <cellStyle name="Note 4 2 2 2 3 2 3" xfId="18097" xr:uid="{00000000-0005-0000-0000-00005A5A0000}"/>
    <cellStyle name="Note 4 2 2 2 3 2 4" xfId="20964" xr:uid="{00000000-0005-0000-0000-00005B5A0000}"/>
    <cellStyle name="Note 4 2 2 2 3 3" xfId="18098" xr:uid="{00000000-0005-0000-0000-00005C5A0000}"/>
    <cellStyle name="Note 4 2 2 2 3 3 2" xfId="18099" xr:uid="{00000000-0005-0000-0000-00005D5A0000}"/>
    <cellStyle name="Note 4 2 2 2 3 3 3" xfId="22257" xr:uid="{00000000-0005-0000-0000-00005E5A0000}"/>
    <cellStyle name="Note 4 2 2 2 3 4" xfId="18100" xr:uid="{00000000-0005-0000-0000-00005F5A0000}"/>
    <cellStyle name="Note 4 2 2 2 3 5" xfId="19670" xr:uid="{00000000-0005-0000-0000-0000605A0000}"/>
    <cellStyle name="Note 4 2 2 2 4" xfId="18101" xr:uid="{00000000-0005-0000-0000-0000615A0000}"/>
    <cellStyle name="Note 4 2 2 2 4 2" xfId="18102" xr:uid="{00000000-0005-0000-0000-0000625A0000}"/>
    <cellStyle name="Note 4 2 2 2 4 2 2" xfId="18103" xr:uid="{00000000-0005-0000-0000-0000635A0000}"/>
    <cellStyle name="Note 4 2 2 2 4 2 3" xfId="22902" xr:uid="{00000000-0005-0000-0000-0000645A0000}"/>
    <cellStyle name="Note 4 2 2 2 4 3" xfId="18104" xr:uid="{00000000-0005-0000-0000-0000655A0000}"/>
    <cellStyle name="Note 4 2 2 2 4 4" xfId="20319" xr:uid="{00000000-0005-0000-0000-0000665A0000}"/>
    <cellStyle name="Note 4 2 2 2 5" xfId="18105" xr:uid="{00000000-0005-0000-0000-0000675A0000}"/>
    <cellStyle name="Note 4 2 2 2 5 2" xfId="18106" xr:uid="{00000000-0005-0000-0000-0000685A0000}"/>
    <cellStyle name="Note 4 2 2 2 5 3" xfId="21612" xr:uid="{00000000-0005-0000-0000-0000695A0000}"/>
    <cellStyle name="Note 4 2 2 2 6" xfId="18107" xr:uid="{00000000-0005-0000-0000-00006A5A0000}"/>
    <cellStyle name="Note 4 2 2 2 7" xfId="19018" xr:uid="{00000000-0005-0000-0000-00006B5A0000}"/>
    <cellStyle name="Note 4 2 2 3" xfId="18108" xr:uid="{00000000-0005-0000-0000-00006C5A0000}"/>
    <cellStyle name="Note 4 2 2 3 2" xfId="18109" xr:uid="{00000000-0005-0000-0000-00006D5A0000}"/>
    <cellStyle name="Note 4 2 2 3 2 2" xfId="18110" xr:uid="{00000000-0005-0000-0000-00006E5A0000}"/>
    <cellStyle name="Note 4 2 2 3 2 2 2" xfId="18111" xr:uid="{00000000-0005-0000-0000-00006F5A0000}"/>
    <cellStyle name="Note 4 2 2 3 2 2 2 2" xfId="18112" xr:uid="{00000000-0005-0000-0000-0000705A0000}"/>
    <cellStyle name="Note 4 2 2 3 2 2 2 3" xfId="23708" xr:uid="{00000000-0005-0000-0000-0000715A0000}"/>
    <cellStyle name="Note 4 2 2 3 2 2 3" xfId="18113" xr:uid="{00000000-0005-0000-0000-0000725A0000}"/>
    <cellStyle name="Note 4 2 2 3 2 2 4" xfId="21125" xr:uid="{00000000-0005-0000-0000-0000735A0000}"/>
    <cellStyle name="Note 4 2 2 3 2 3" xfId="18114" xr:uid="{00000000-0005-0000-0000-0000745A0000}"/>
    <cellStyle name="Note 4 2 2 3 2 3 2" xfId="18115" xr:uid="{00000000-0005-0000-0000-0000755A0000}"/>
    <cellStyle name="Note 4 2 2 3 2 3 3" xfId="22418" xr:uid="{00000000-0005-0000-0000-0000765A0000}"/>
    <cellStyle name="Note 4 2 2 3 2 4" xfId="18116" xr:uid="{00000000-0005-0000-0000-0000775A0000}"/>
    <cellStyle name="Note 4 2 2 3 2 5" xfId="19831" xr:uid="{00000000-0005-0000-0000-0000785A0000}"/>
    <cellStyle name="Note 4 2 2 3 3" xfId="18117" xr:uid="{00000000-0005-0000-0000-0000795A0000}"/>
    <cellStyle name="Note 4 2 2 3 3 2" xfId="18118" xr:uid="{00000000-0005-0000-0000-00007A5A0000}"/>
    <cellStyle name="Note 4 2 2 3 3 2 2" xfId="18119" xr:uid="{00000000-0005-0000-0000-00007B5A0000}"/>
    <cellStyle name="Note 4 2 2 3 3 2 3" xfId="23063" xr:uid="{00000000-0005-0000-0000-00007C5A0000}"/>
    <cellStyle name="Note 4 2 2 3 3 3" xfId="18120" xr:uid="{00000000-0005-0000-0000-00007D5A0000}"/>
    <cellStyle name="Note 4 2 2 3 3 4" xfId="20480" xr:uid="{00000000-0005-0000-0000-00007E5A0000}"/>
    <cellStyle name="Note 4 2 2 3 4" xfId="18121" xr:uid="{00000000-0005-0000-0000-00007F5A0000}"/>
    <cellStyle name="Note 4 2 2 3 4 2" xfId="18122" xr:uid="{00000000-0005-0000-0000-0000805A0000}"/>
    <cellStyle name="Note 4 2 2 3 4 3" xfId="21773" xr:uid="{00000000-0005-0000-0000-0000815A0000}"/>
    <cellStyle name="Note 4 2 2 3 5" xfId="18123" xr:uid="{00000000-0005-0000-0000-0000825A0000}"/>
    <cellStyle name="Note 4 2 2 3 6" xfId="19183" xr:uid="{00000000-0005-0000-0000-0000835A0000}"/>
    <cellStyle name="Note 4 2 2 4" xfId="18124" xr:uid="{00000000-0005-0000-0000-0000845A0000}"/>
    <cellStyle name="Note 4 2 2 4 2" xfId="18125" xr:uid="{00000000-0005-0000-0000-0000855A0000}"/>
    <cellStyle name="Note 4 2 2 4 2 2" xfId="18126" xr:uid="{00000000-0005-0000-0000-0000865A0000}"/>
    <cellStyle name="Note 4 2 2 4 2 2 2" xfId="18127" xr:uid="{00000000-0005-0000-0000-0000875A0000}"/>
    <cellStyle name="Note 4 2 2 4 2 2 3" xfId="23386" xr:uid="{00000000-0005-0000-0000-0000885A0000}"/>
    <cellStyle name="Note 4 2 2 4 2 3" xfId="18128" xr:uid="{00000000-0005-0000-0000-0000895A0000}"/>
    <cellStyle name="Note 4 2 2 4 2 4" xfId="20803" xr:uid="{00000000-0005-0000-0000-00008A5A0000}"/>
    <cellStyle name="Note 4 2 2 4 3" xfId="18129" xr:uid="{00000000-0005-0000-0000-00008B5A0000}"/>
    <cellStyle name="Note 4 2 2 4 3 2" xfId="18130" xr:uid="{00000000-0005-0000-0000-00008C5A0000}"/>
    <cellStyle name="Note 4 2 2 4 3 3" xfId="22096" xr:uid="{00000000-0005-0000-0000-00008D5A0000}"/>
    <cellStyle name="Note 4 2 2 4 4" xfId="18131" xr:uid="{00000000-0005-0000-0000-00008E5A0000}"/>
    <cellStyle name="Note 4 2 2 4 5" xfId="19509" xr:uid="{00000000-0005-0000-0000-00008F5A0000}"/>
    <cellStyle name="Note 4 2 2 5" xfId="18132" xr:uid="{00000000-0005-0000-0000-0000905A0000}"/>
    <cellStyle name="Note 4 2 2 5 2" xfId="18133" xr:uid="{00000000-0005-0000-0000-0000915A0000}"/>
    <cellStyle name="Note 4 2 2 5 2 2" xfId="18134" xr:uid="{00000000-0005-0000-0000-0000925A0000}"/>
    <cellStyle name="Note 4 2 2 5 2 3" xfId="22741" xr:uid="{00000000-0005-0000-0000-0000935A0000}"/>
    <cellStyle name="Note 4 2 2 5 3" xfId="18135" xr:uid="{00000000-0005-0000-0000-0000945A0000}"/>
    <cellStyle name="Note 4 2 2 5 4" xfId="20158" xr:uid="{00000000-0005-0000-0000-0000955A0000}"/>
    <cellStyle name="Note 4 2 2 6" xfId="18136" xr:uid="{00000000-0005-0000-0000-0000965A0000}"/>
    <cellStyle name="Note 4 2 2 6 2" xfId="18137" xr:uid="{00000000-0005-0000-0000-0000975A0000}"/>
    <cellStyle name="Note 4 2 2 6 3" xfId="21451" xr:uid="{00000000-0005-0000-0000-0000985A0000}"/>
    <cellStyle name="Note 4 2 2 7" xfId="18138" xr:uid="{00000000-0005-0000-0000-0000995A0000}"/>
    <cellStyle name="Note 4 2 2 8" xfId="18853" xr:uid="{00000000-0005-0000-0000-00009A5A0000}"/>
    <cellStyle name="Note 4 2 3" xfId="18139" xr:uid="{00000000-0005-0000-0000-00009B5A0000}"/>
    <cellStyle name="Note 4 2 3 2" xfId="18140" xr:uid="{00000000-0005-0000-0000-00009C5A0000}"/>
    <cellStyle name="Note 4 2 3 2 2" xfId="18141" xr:uid="{00000000-0005-0000-0000-00009D5A0000}"/>
    <cellStyle name="Note 4 2 3 2 2 2" xfId="18142" xr:uid="{00000000-0005-0000-0000-00009E5A0000}"/>
    <cellStyle name="Note 4 2 3 2 2 2 2" xfId="18143" xr:uid="{00000000-0005-0000-0000-00009F5A0000}"/>
    <cellStyle name="Note 4 2 3 2 2 2 2 2" xfId="18144" xr:uid="{00000000-0005-0000-0000-0000A05A0000}"/>
    <cellStyle name="Note 4 2 3 2 2 2 2 3" xfId="23789" xr:uid="{00000000-0005-0000-0000-0000A15A0000}"/>
    <cellStyle name="Note 4 2 3 2 2 2 3" xfId="18145" xr:uid="{00000000-0005-0000-0000-0000A25A0000}"/>
    <cellStyle name="Note 4 2 3 2 2 2 4" xfId="21206" xr:uid="{00000000-0005-0000-0000-0000A35A0000}"/>
    <cellStyle name="Note 4 2 3 2 2 3" xfId="18146" xr:uid="{00000000-0005-0000-0000-0000A45A0000}"/>
    <cellStyle name="Note 4 2 3 2 2 3 2" xfId="18147" xr:uid="{00000000-0005-0000-0000-0000A55A0000}"/>
    <cellStyle name="Note 4 2 3 2 2 3 3" xfId="22499" xr:uid="{00000000-0005-0000-0000-0000A65A0000}"/>
    <cellStyle name="Note 4 2 3 2 2 4" xfId="18148" xr:uid="{00000000-0005-0000-0000-0000A75A0000}"/>
    <cellStyle name="Note 4 2 3 2 2 5" xfId="19912" xr:uid="{00000000-0005-0000-0000-0000A85A0000}"/>
    <cellStyle name="Note 4 2 3 2 3" xfId="18149" xr:uid="{00000000-0005-0000-0000-0000A95A0000}"/>
    <cellStyle name="Note 4 2 3 2 3 2" xfId="18150" xr:uid="{00000000-0005-0000-0000-0000AA5A0000}"/>
    <cellStyle name="Note 4 2 3 2 3 2 2" xfId="18151" xr:uid="{00000000-0005-0000-0000-0000AB5A0000}"/>
    <cellStyle name="Note 4 2 3 2 3 2 3" xfId="23144" xr:uid="{00000000-0005-0000-0000-0000AC5A0000}"/>
    <cellStyle name="Note 4 2 3 2 3 3" xfId="18152" xr:uid="{00000000-0005-0000-0000-0000AD5A0000}"/>
    <cellStyle name="Note 4 2 3 2 3 4" xfId="20561" xr:uid="{00000000-0005-0000-0000-0000AE5A0000}"/>
    <cellStyle name="Note 4 2 3 2 4" xfId="18153" xr:uid="{00000000-0005-0000-0000-0000AF5A0000}"/>
    <cellStyle name="Note 4 2 3 2 4 2" xfId="18154" xr:uid="{00000000-0005-0000-0000-0000B05A0000}"/>
    <cellStyle name="Note 4 2 3 2 4 3" xfId="21854" xr:uid="{00000000-0005-0000-0000-0000B15A0000}"/>
    <cellStyle name="Note 4 2 3 2 5" xfId="18155" xr:uid="{00000000-0005-0000-0000-0000B25A0000}"/>
    <cellStyle name="Note 4 2 3 2 6" xfId="19264" xr:uid="{00000000-0005-0000-0000-0000B35A0000}"/>
    <cellStyle name="Note 4 2 3 3" xfId="18156" xr:uid="{00000000-0005-0000-0000-0000B45A0000}"/>
    <cellStyle name="Note 4 2 3 3 2" xfId="18157" xr:uid="{00000000-0005-0000-0000-0000B55A0000}"/>
    <cellStyle name="Note 4 2 3 3 2 2" xfId="18158" xr:uid="{00000000-0005-0000-0000-0000B65A0000}"/>
    <cellStyle name="Note 4 2 3 3 2 2 2" xfId="18159" xr:uid="{00000000-0005-0000-0000-0000B75A0000}"/>
    <cellStyle name="Note 4 2 3 3 2 2 3" xfId="23467" xr:uid="{00000000-0005-0000-0000-0000B85A0000}"/>
    <cellStyle name="Note 4 2 3 3 2 3" xfId="18160" xr:uid="{00000000-0005-0000-0000-0000B95A0000}"/>
    <cellStyle name="Note 4 2 3 3 2 4" xfId="20884" xr:uid="{00000000-0005-0000-0000-0000BA5A0000}"/>
    <cellStyle name="Note 4 2 3 3 3" xfId="18161" xr:uid="{00000000-0005-0000-0000-0000BB5A0000}"/>
    <cellStyle name="Note 4 2 3 3 3 2" xfId="18162" xr:uid="{00000000-0005-0000-0000-0000BC5A0000}"/>
    <cellStyle name="Note 4 2 3 3 3 3" xfId="22177" xr:uid="{00000000-0005-0000-0000-0000BD5A0000}"/>
    <cellStyle name="Note 4 2 3 3 4" xfId="18163" xr:uid="{00000000-0005-0000-0000-0000BE5A0000}"/>
    <cellStyle name="Note 4 2 3 3 5" xfId="19590" xr:uid="{00000000-0005-0000-0000-0000BF5A0000}"/>
    <cellStyle name="Note 4 2 3 4" xfId="18164" xr:uid="{00000000-0005-0000-0000-0000C05A0000}"/>
    <cellStyle name="Note 4 2 3 4 2" xfId="18165" xr:uid="{00000000-0005-0000-0000-0000C15A0000}"/>
    <cellStyle name="Note 4 2 3 4 2 2" xfId="18166" xr:uid="{00000000-0005-0000-0000-0000C25A0000}"/>
    <cellStyle name="Note 4 2 3 4 2 3" xfId="22822" xr:uid="{00000000-0005-0000-0000-0000C35A0000}"/>
    <cellStyle name="Note 4 2 3 4 3" xfId="18167" xr:uid="{00000000-0005-0000-0000-0000C45A0000}"/>
    <cellStyle name="Note 4 2 3 4 4" xfId="20239" xr:uid="{00000000-0005-0000-0000-0000C55A0000}"/>
    <cellStyle name="Note 4 2 3 5" xfId="18168" xr:uid="{00000000-0005-0000-0000-0000C65A0000}"/>
    <cellStyle name="Note 4 2 3 5 2" xfId="18169" xr:uid="{00000000-0005-0000-0000-0000C75A0000}"/>
    <cellStyle name="Note 4 2 3 5 3" xfId="21532" xr:uid="{00000000-0005-0000-0000-0000C85A0000}"/>
    <cellStyle name="Note 4 2 3 6" xfId="18170" xr:uid="{00000000-0005-0000-0000-0000C95A0000}"/>
    <cellStyle name="Note 4 2 3 7" xfId="18938" xr:uid="{00000000-0005-0000-0000-0000CA5A0000}"/>
    <cellStyle name="Note 4 2 4" xfId="18171" xr:uid="{00000000-0005-0000-0000-0000CB5A0000}"/>
    <cellStyle name="Note 4 2 4 2" xfId="18172" xr:uid="{00000000-0005-0000-0000-0000CC5A0000}"/>
    <cellStyle name="Note 4 2 4 2 2" xfId="18173" xr:uid="{00000000-0005-0000-0000-0000CD5A0000}"/>
    <cellStyle name="Note 4 2 4 2 2 2" xfId="18174" xr:uid="{00000000-0005-0000-0000-0000CE5A0000}"/>
    <cellStyle name="Note 4 2 4 2 2 2 2" xfId="18175" xr:uid="{00000000-0005-0000-0000-0000CF5A0000}"/>
    <cellStyle name="Note 4 2 4 2 2 2 3" xfId="23628" xr:uid="{00000000-0005-0000-0000-0000D05A0000}"/>
    <cellStyle name="Note 4 2 4 2 2 3" xfId="18176" xr:uid="{00000000-0005-0000-0000-0000D15A0000}"/>
    <cellStyle name="Note 4 2 4 2 2 4" xfId="21045" xr:uid="{00000000-0005-0000-0000-0000D25A0000}"/>
    <cellStyle name="Note 4 2 4 2 3" xfId="18177" xr:uid="{00000000-0005-0000-0000-0000D35A0000}"/>
    <cellStyle name="Note 4 2 4 2 3 2" xfId="18178" xr:uid="{00000000-0005-0000-0000-0000D45A0000}"/>
    <cellStyle name="Note 4 2 4 2 3 3" xfId="22338" xr:uid="{00000000-0005-0000-0000-0000D55A0000}"/>
    <cellStyle name="Note 4 2 4 2 4" xfId="18179" xr:uid="{00000000-0005-0000-0000-0000D65A0000}"/>
    <cellStyle name="Note 4 2 4 2 5" xfId="19751" xr:uid="{00000000-0005-0000-0000-0000D75A0000}"/>
    <cellStyle name="Note 4 2 4 3" xfId="18180" xr:uid="{00000000-0005-0000-0000-0000D85A0000}"/>
    <cellStyle name="Note 4 2 4 3 2" xfId="18181" xr:uid="{00000000-0005-0000-0000-0000D95A0000}"/>
    <cellStyle name="Note 4 2 4 3 2 2" xfId="18182" xr:uid="{00000000-0005-0000-0000-0000DA5A0000}"/>
    <cellStyle name="Note 4 2 4 3 2 3" xfId="22983" xr:uid="{00000000-0005-0000-0000-0000DB5A0000}"/>
    <cellStyle name="Note 4 2 4 3 3" xfId="18183" xr:uid="{00000000-0005-0000-0000-0000DC5A0000}"/>
    <cellStyle name="Note 4 2 4 3 4" xfId="20400" xr:uid="{00000000-0005-0000-0000-0000DD5A0000}"/>
    <cellStyle name="Note 4 2 4 4" xfId="18184" xr:uid="{00000000-0005-0000-0000-0000DE5A0000}"/>
    <cellStyle name="Note 4 2 4 4 2" xfId="18185" xr:uid="{00000000-0005-0000-0000-0000DF5A0000}"/>
    <cellStyle name="Note 4 2 4 4 3" xfId="21693" xr:uid="{00000000-0005-0000-0000-0000E05A0000}"/>
    <cellStyle name="Note 4 2 4 5" xfId="18186" xr:uid="{00000000-0005-0000-0000-0000E15A0000}"/>
    <cellStyle name="Note 4 2 4 6" xfId="19103" xr:uid="{00000000-0005-0000-0000-0000E25A0000}"/>
    <cellStyle name="Note 4 2 5" xfId="18187" xr:uid="{00000000-0005-0000-0000-0000E35A0000}"/>
    <cellStyle name="Note 4 2 5 2" xfId="18188" xr:uid="{00000000-0005-0000-0000-0000E45A0000}"/>
    <cellStyle name="Note 4 2 5 2 2" xfId="18189" xr:uid="{00000000-0005-0000-0000-0000E55A0000}"/>
    <cellStyle name="Note 4 2 5 2 2 2" xfId="18190" xr:uid="{00000000-0005-0000-0000-0000E65A0000}"/>
    <cellStyle name="Note 4 2 5 2 2 3" xfId="23305" xr:uid="{00000000-0005-0000-0000-0000E75A0000}"/>
    <cellStyle name="Note 4 2 5 2 3" xfId="18191" xr:uid="{00000000-0005-0000-0000-0000E85A0000}"/>
    <cellStyle name="Note 4 2 5 2 4" xfId="20722" xr:uid="{00000000-0005-0000-0000-0000E95A0000}"/>
    <cellStyle name="Note 4 2 5 3" xfId="18192" xr:uid="{00000000-0005-0000-0000-0000EA5A0000}"/>
    <cellStyle name="Note 4 2 5 3 2" xfId="18193" xr:uid="{00000000-0005-0000-0000-0000EB5A0000}"/>
    <cellStyle name="Note 4 2 5 3 3" xfId="22015" xr:uid="{00000000-0005-0000-0000-0000EC5A0000}"/>
    <cellStyle name="Note 4 2 5 4" xfId="18194" xr:uid="{00000000-0005-0000-0000-0000ED5A0000}"/>
    <cellStyle name="Note 4 2 5 5" xfId="19429" xr:uid="{00000000-0005-0000-0000-0000EE5A0000}"/>
    <cellStyle name="Note 4 2 6" xfId="18195" xr:uid="{00000000-0005-0000-0000-0000EF5A0000}"/>
    <cellStyle name="Note 4 2 6 2" xfId="18196" xr:uid="{00000000-0005-0000-0000-0000F05A0000}"/>
    <cellStyle name="Note 4 2 6 2 2" xfId="18197" xr:uid="{00000000-0005-0000-0000-0000F15A0000}"/>
    <cellStyle name="Note 4 2 6 2 3" xfId="22660" xr:uid="{00000000-0005-0000-0000-0000F25A0000}"/>
    <cellStyle name="Note 4 2 6 3" xfId="18198" xr:uid="{00000000-0005-0000-0000-0000F35A0000}"/>
    <cellStyle name="Note 4 2 6 4" xfId="20077" xr:uid="{00000000-0005-0000-0000-0000F45A0000}"/>
    <cellStyle name="Note 4 2 7" xfId="18199" xr:uid="{00000000-0005-0000-0000-0000F55A0000}"/>
    <cellStyle name="Note 4 2 7 2" xfId="18200" xr:uid="{00000000-0005-0000-0000-0000F65A0000}"/>
    <cellStyle name="Note 4 2 7 3" xfId="21370" xr:uid="{00000000-0005-0000-0000-0000F75A0000}"/>
    <cellStyle name="Note 4 2 8" xfId="18201" xr:uid="{00000000-0005-0000-0000-0000F85A0000}"/>
    <cellStyle name="Note 4 2 9" xfId="18756" xr:uid="{00000000-0005-0000-0000-0000F95A0000}"/>
    <cellStyle name="Note 4 3" xfId="18202" xr:uid="{00000000-0005-0000-0000-0000FA5A0000}"/>
    <cellStyle name="Note 4 3 2" xfId="18203" xr:uid="{00000000-0005-0000-0000-0000FB5A0000}"/>
    <cellStyle name="Note 4 3 2 2" xfId="18204" xr:uid="{00000000-0005-0000-0000-0000FC5A0000}"/>
    <cellStyle name="Note 4 3 2 2 2" xfId="18205" xr:uid="{00000000-0005-0000-0000-0000FD5A0000}"/>
    <cellStyle name="Note 4 3 2 2 2 2" xfId="18206" xr:uid="{00000000-0005-0000-0000-0000FE5A0000}"/>
    <cellStyle name="Note 4 3 2 2 2 2 2" xfId="18207" xr:uid="{00000000-0005-0000-0000-0000FF5A0000}"/>
    <cellStyle name="Note 4 3 2 2 2 2 2 2" xfId="18208" xr:uid="{00000000-0005-0000-0000-0000005B0000}"/>
    <cellStyle name="Note 4 3 2 2 2 2 2 3" xfId="23829" xr:uid="{00000000-0005-0000-0000-0000015B0000}"/>
    <cellStyle name="Note 4 3 2 2 2 2 3" xfId="18209" xr:uid="{00000000-0005-0000-0000-0000025B0000}"/>
    <cellStyle name="Note 4 3 2 2 2 2 4" xfId="21246" xr:uid="{00000000-0005-0000-0000-0000035B0000}"/>
    <cellStyle name="Note 4 3 2 2 2 3" xfId="18210" xr:uid="{00000000-0005-0000-0000-0000045B0000}"/>
    <cellStyle name="Note 4 3 2 2 2 3 2" xfId="18211" xr:uid="{00000000-0005-0000-0000-0000055B0000}"/>
    <cellStyle name="Note 4 3 2 2 2 3 3" xfId="22539" xr:uid="{00000000-0005-0000-0000-0000065B0000}"/>
    <cellStyle name="Note 4 3 2 2 2 4" xfId="18212" xr:uid="{00000000-0005-0000-0000-0000075B0000}"/>
    <cellStyle name="Note 4 3 2 2 2 5" xfId="19952" xr:uid="{00000000-0005-0000-0000-0000085B0000}"/>
    <cellStyle name="Note 4 3 2 2 3" xfId="18213" xr:uid="{00000000-0005-0000-0000-0000095B0000}"/>
    <cellStyle name="Note 4 3 2 2 3 2" xfId="18214" xr:uid="{00000000-0005-0000-0000-00000A5B0000}"/>
    <cellStyle name="Note 4 3 2 2 3 2 2" xfId="18215" xr:uid="{00000000-0005-0000-0000-00000B5B0000}"/>
    <cellStyle name="Note 4 3 2 2 3 2 3" xfId="23184" xr:uid="{00000000-0005-0000-0000-00000C5B0000}"/>
    <cellStyle name="Note 4 3 2 2 3 3" xfId="18216" xr:uid="{00000000-0005-0000-0000-00000D5B0000}"/>
    <cellStyle name="Note 4 3 2 2 3 4" xfId="20601" xr:uid="{00000000-0005-0000-0000-00000E5B0000}"/>
    <cellStyle name="Note 4 3 2 2 4" xfId="18217" xr:uid="{00000000-0005-0000-0000-00000F5B0000}"/>
    <cellStyle name="Note 4 3 2 2 4 2" xfId="18218" xr:uid="{00000000-0005-0000-0000-0000105B0000}"/>
    <cellStyle name="Note 4 3 2 2 4 3" xfId="21894" xr:uid="{00000000-0005-0000-0000-0000115B0000}"/>
    <cellStyle name="Note 4 3 2 2 5" xfId="18219" xr:uid="{00000000-0005-0000-0000-0000125B0000}"/>
    <cellStyle name="Note 4 3 2 2 6" xfId="19304" xr:uid="{00000000-0005-0000-0000-0000135B0000}"/>
    <cellStyle name="Note 4 3 2 3" xfId="18220" xr:uid="{00000000-0005-0000-0000-0000145B0000}"/>
    <cellStyle name="Note 4 3 2 3 2" xfId="18221" xr:uid="{00000000-0005-0000-0000-0000155B0000}"/>
    <cellStyle name="Note 4 3 2 3 2 2" xfId="18222" xr:uid="{00000000-0005-0000-0000-0000165B0000}"/>
    <cellStyle name="Note 4 3 2 3 2 2 2" xfId="18223" xr:uid="{00000000-0005-0000-0000-0000175B0000}"/>
    <cellStyle name="Note 4 3 2 3 2 2 3" xfId="23507" xr:uid="{00000000-0005-0000-0000-0000185B0000}"/>
    <cellStyle name="Note 4 3 2 3 2 3" xfId="18224" xr:uid="{00000000-0005-0000-0000-0000195B0000}"/>
    <cellStyle name="Note 4 3 2 3 2 4" xfId="20924" xr:uid="{00000000-0005-0000-0000-00001A5B0000}"/>
    <cellStyle name="Note 4 3 2 3 3" xfId="18225" xr:uid="{00000000-0005-0000-0000-00001B5B0000}"/>
    <cellStyle name="Note 4 3 2 3 3 2" xfId="18226" xr:uid="{00000000-0005-0000-0000-00001C5B0000}"/>
    <cellStyle name="Note 4 3 2 3 3 3" xfId="22217" xr:uid="{00000000-0005-0000-0000-00001D5B0000}"/>
    <cellStyle name="Note 4 3 2 3 4" xfId="18227" xr:uid="{00000000-0005-0000-0000-00001E5B0000}"/>
    <cellStyle name="Note 4 3 2 3 5" xfId="19630" xr:uid="{00000000-0005-0000-0000-00001F5B0000}"/>
    <cellStyle name="Note 4 3 2 4" xfId="18228" xr:uid="{00000000-0005-0000-0000-0000205B0000}"/>
    <cellStyle name="Note 4 3 2 4 2" xfId="18229" xr:uid="{00000000-0005-0000-0000-0000215B0000}"/>
    <cellStyle name="Note 4 3 2 4 2 2" xfId="18230" xr:uid="{00000000-0005-0000-0000-0000225B0000}"/>
    <cellStyle name="Note 4 3 2 4 2 3" xfId="22862" xr:uid="{00000000-0005-0000-0000-0000235B0000}"/>
    <cellStyle name="Note 4 3 2 4 3" xfId="18231" xr:uid="{00000000-0005-0000-0000-0000245B0000}"/>
    <cellStyle name="Note 4 3 2 4 4" xfId="20279" xr:uid="{00000000-0005-0000-0000-0000255B0000}"/>
    <cellStyle name="Note 4 3 2 5" xfId="18232" xr:uid="{00000000-0005-0000-0000-0000265B0000}"/>
    <cellStyle name="Note 4 3 2 5 2" xfId="18233" xr:uid="{00000000-0005-0000-0000-0000275B0000}"/>
    <cellStyle name="Note 4 3 2 5 3" xfId="21572" xr:uid="{00000000-0005-0000-0000-0000285B0000}"/>
    <cellStyle name="Note 4 3 2 6" xfId="18234" xr:uid="{00000000-0005-0000-0000-0000295B0000}"/>
    <cellStyle name="Note 4 3 2 7" xfId="18978" xr:uid="{00000000-0005-0000-0000-00002A5B0000}"/>
    <cellStyle name="Note 4 3 3" xfId="18235" xr:uid="{00000000-0005-0000-0000-00002B5B0000}"/>
    <cellStyle name="Note 4 3 3 2" xfId="18236" xr:uid="{00000000-0005-0000-0000-00002C5B0000}"/>
    <cellStyle name="Note 4 3 3 2 2" xfId="18237" xr:uid="{00000000-0005-0000-0000-00002D5B0000}"/>
    <cellStyle name="Note 4 3 3 2 2 2" xfId="18238" xr:uid="{00000000-0005-0000-0000-00002E5B0000}"/>
    <cellStyle name="Note 4 3 3 2 2 2 2" xfId="18239" xr:uid="{00000000-0005-0000-0000-00002F5B0000}"/>
    <cellStyle name="Note 4 3 3 2 2 2 3" xfId="23668" xr:uid="{00000000-0005-0000-0000-0000305B0000}"/>
    <cellStyle name="Note 4 3 3 2 2 3" xfId="18240" xr:uid="{00000000-0005-0000-0000-0000315B0000}"/>
    <cellStyle name="Note 4 3 3 2 2 4" xfId="21085" xr:uid="{00000000-0005-0000-0000-0000325B0000}"/>
    <cellStyle name="Note 4 3 3 2 3" xfId="18241" xr:uid="{00000000-0005-0000-0000-0000335B0000}"/>
    <cellStyle name="Note 4 3 3 2 3 2" xfId="18242" xr:uid="{00000000-0005-0000-0000-0000345B0000}"/>
    <cellStyle name="Note 4 3 3 2 3 3" xfId="22378" xr:uid="{00000000-0005-0000-0000-0000355B0000}"/>
    <cellStyle name="Note 4 3 3 2 4" xfId="18243" xr:uid="{00000000-0005-0000-0000-0000365B0000}"/>
    <cellStyle name="Note 4 3 3 2 5" xfId="19791" xr:uid="{00000000-0005-0000-0000-0000375B0000}"/>
    <cellStyle name="Note 4 3 3 3" xfId="18244" xr:uid="{00000000-0005-0000-0000-0000385B0000}"/>
    <cellStyle name="Note 4 3 3 3 2" xfId="18245" xr:uid="{00000000-0005-0000-0000-0000395B0000}"/>
    <cellStyle name="Note 4 3 3 3 2 2" xfId="18246" xr:uid="{00000000-0005-0000-0000-00003A5B0000}"/>
    <cellStyle name="Note 4 3 3 3 2 3" xfId="23023" xr:uid="{00000000-0005-0000-0000-00003B5B0000}"/>
    <cellStyle name="Note 4 3 3 3 3" xfId="18247" xr:uid="{00000000-0005-0000-0000-00003C5B0000}"/>
    <cellStyle name="Note 4 3 3 3 4" xfId="20440" xr:uid="{00000000-0005-0000-0000-00003D5B0000}"/>
    <cellStyle name="Note 4 3 3 4" xfId="18248" xr:uid="{00000000-0005-0000-0000-00003E5B0000}"/>
    <cellStyle name="Note 4 3 3 4 2" xfId="18249" xr:uid="{00000000-0005-0000-0000-00003F5B0000}"/>
    <cellStyle name="Note 4 3 3 4 3" xfId="21733" xr:uid="{00000000-0005-0000-0000-0000405B0000}"/>
    <cellStyle name="Note 4 3 3 5" xfId="18250" xr:uid="{00000000-0005-0000-0000-0000415B0000}"/>
    <cellStyle name="Note 4 3 3 6" xfId="19143" xr:uid="{00000000-0005-0000-0000-0000425B0000}"/>
    <cellStyle name="Note 4 3 4" xfId="18251" xr:uid="{00000000-0005-0000-0000-0000435B0000}"/>
    <cellStyle name="Note 4 3 4 2" xfId="18252" xr:uid="{00000000-0005-0000-0000-0000445B0000}"/>
    <cellStyle name="Note 4 3 4 2 2" xfId="18253" xr:uid="{00000000-0005-0000-0000-0000455B0000}"/>
    <cellStyle name="Note 4 3 4 2 2 2" xfId="18254" xr:uid="{00000000-0005-0000-0000-0000465B0000}"/>
    <cellStyle name="Note 4 3 4 2 2 3" xfId="23346" xr:uid="{00000000-0005-0000-0000-0000475B0000}"/>
    <cellStyle name="Note 4 3 4 2 3" xfId="18255" xr:uid="{00000000-0005-0000-0000-0000485B0000}"/>
    <cellStyle name="Note 4 3 4 2 4" xfId="20763" xr:uid="{00000000-0005-0000-0000-0000495B0000}"/>
    <cellStyle name="Note 4 3 4 3" xfId="18256" xr:uid="{00000000-0005-0000-0000-00004A5B0000}"/>
    <cellStyle name="Note 4 3 4 3 2" xfId="18257" xr:uid="{00000000-0005-0000-0000-00004B5B0000}"/>
    <cellStyle name="Note 4 3 4 3 3" xfId="22056" xr:uid="{00000000-0005-0000-0000-00004C5B0000}"/>
    <cellStyle name="Note 4 3 4 4" xfId="18258" xr:uid="{00000000-0005-0000-0000-00004D5B0000}"/>
    <cellStyle name="Note 4 3 4 5" xfId="19469" xr:uid="{00000000-0005-0000-0000-00004E5B0000}"/>
    <cellStyle name="Note 4 3 5" xfId="18259" xr:uid="{00000000-0005-0000-0000-00004F5B0000}"/>
    <cellStyle name="Note 4 3 5 2" xfId="18260" xr:uid="{00000000-0005-0000-0000-0000505B0000}"/>
    <cellStyle name="Note 4 3 5 2 2" xfId="18261" xr:uid="{00000000-0005-0000-0000-0000515B0000}"/>
    <cellStyle name="Note 4 3 5 2 3" xfId="22701" xr:uid="{00000000-0005-0000-0000-0000525B0000}"/>
    <cellStyle name="Note 4 3 5 3" xfId="18262" xr:uid="{00000000-0005-0000-0000-0000535B0000}"/>
    <cellStyle name="Note 4 3 5 4" xfId="20118" xr:uid="{00000000-0005-0000-0000-0000545B0000}"/>
    <cellStyle name="Note 4 3 6" xfId="18263" xr:uid="{00000000-0005-0000-0000-0000555B0000}"/>
    <cellStyle name="Note 4 3 6 2" xfId="18264" xr:uid="{00000000-0005-0000-0000-0000565B0000}"/>
    <cellStyle name="Note 4 3 6 3" xfId="21411" xr:uid="{00000000-0005-0000-0000-0000575B0000}"/>
    <cellStyle name="Note 4 3 7" xfId="18265" xr:uid="{00000000-0005-0000-0000-0000585B0000}"/>
    <cellStyle name="Note 4 3 8" xfId="18811" xr:uid="{00000000-0005-0000-0000-0000595B0000}"/>
    <cellStyle name="Note 4 4" xfId="18266" xr:uid="{00000000-0005-0000-0000-00005A5B0000}"/>
    <cellStyle name="Note 4 4 2" xfId="18267" xr:uid="{00000000-0005-0000-0000-00005B5B0000}"/>
    <cellStyle name="Note 4 4 2 2" xfId="18268" xr:uid="{00000000-0005-0000-0000-00005C5B0000}"/>
    <cellStyle name="Note 4 4 2 2 2" xfId="18269" xr:uid="{00000000-0005-0000-0000-00005D5B0000}"/>
    <cellStyle name="Note 4 4 2 2 2 2" xfId="18270" xr:uid="{00000000-0005-0000-0000-00005E5B0000}"/>
    <cellStyle name="Note 4 4 2 2 2 2 2" xfId="18271" xr:uid="{00000000-0005-0000-0000-00005F5B0000}"/>
    <cellStyle name="Note 4 4 2 2 2 2 3" xfId="23749" xr:uid="{00000000-0005-0000-0000-0000605B0000}"/>
    <cellStyle name="Note 4 4 2 2 2 3" xfId="18272" xr:uid="{00000000-0005-0000-0000-0000615B0000}"/>
    <cellStyle name="Note 4 4 2 2 2 4" xfId="21166" xr:uid="{00000000-0005-0000-0000-0000625B0000}"/>
    <cellStyle name="Note 4 4 2 2 3" xfId="18273" xr:uid="{00000000-0005-0000-0000-0000635B0000}"/>
    <cellStyle name="Note 4 4 2 2 3 2" xfId="18274" xr:uid="{00000000-0005-0000-0000-0000645B0000}"/>
    <cellStyle name="Note 4 4 2 2 3 3" xfId="22459" xr:uid="{00000000-0005-0000-0000-0000655B0000}"/>
    <cellStyle name="Note 4 4 2 2 4" xfId="18275" xr:uid="{00000000-0005-0000-0000-0000665B0000}"/>
    <cellStyle name="Note 4 4 2 2 5" xfId="19872" xr:uid="{00000000-0005-0000-0000-0000675B0000}"/>
    <cellStyle name="Note 4 4 2 3" xfId="18276" xr:uid="{00000000-0005-0000-0000-0000685B0000}"/>
    <cellStyle name="Note 4 4 2 3 2" xfId="18277" xr:uid="{00000000-0005-0000-0000-0000695B0000}"/>
    <cellStyle name="Note 4 4 2 3 2 2" xfId="18278" xr:uid="{00000000-0005-0000-0000-00006A5B0000}"/>
    <cellStyle name="Note 4 4 2 3 2 3" xfId="23104" xr:uid="{00000000-0005-0000-0000-00006B5B0000}"/>
    <cellStyle name="Note 4 4 2 3 3" xfId="18279" xr:uid="{00000000-0005-0000-0000-00006C5B0000}"/>
    <cellStyle name="Note 4 4 2 3 4" xfId="20521" xr:uid="{00000000-0005-0000-0000-00006D5B0000}"/>
    <cellStyle name="Note 4 4 2 4" xfId="18280" xr:uid="{00000000-0005-0000-0000-00006E5B0000}"/>
    <cellStyle name="Note 4 4 2 4 2" xfId="18281" xr:uid="{00000000-0005-0000-0000-00006F5B0000}"/>
    <cellStyle name="Note 4 4 2 4 3" xfId="21814" xr:uid="{00000000-0005-0000-0000-0000705B0000}"/>
    <cellStyle name="Note 4 4 2 5" xfId="18282" xr:uid="{00000000-0005-0000-0000-0000715B0000}"/>
    <cellStyle name="Note 4 4 2 6" xfId="19224" xr:uid="{00000000-0005-0000-0000-0000725B0000}"/>
    <cellStyle name="Note 4 4 3" xfId="18283" xr:uid="{00000000-0005-0000-0000-0000735B0000}"/>
    <cellStyle name="Note 4 4 3 2" xfId="18284" xr:uid="{00000000-0005-0000-0000-0000745B0000}"/>
    <cellStyle name="Note 4 4 3 2 2" xfId="18285" xr:uid="{00000000-0005-0000-0000-0000755B0000}"/>
    <cellStyle name="Note 4 4 3 2 2 2" xfId="18286" xr:uid="{00000000-0005-0000-0000-0000765B0000}"/>
    <cellStyle name="Note 4 4 3 2 2 3" xfId="23427" xr:uid="{00000000-0005-0000-0000-0000775B0000}"/>
    <cellStyle name="Note 4 4 3 2 3" xfId="18287" xr:uid="{00000000-0005-0000-0000-0000785B0000}"/>
    <cellStyle name="Note 4 4 3 2 4" xfId="20844" xr:uid="{00000000-0005-0000-0000-0000795B0000}"/>
    <cellStyle name="Note 4 4 3 3" xfId="18288" xr:uid="{00000000-0005-0000-0000-00007A5B0000}"/>
    <cellStyle name="Note 4 4 3 3 2" xfId="18289" xr:uid="{00000000-0005-0000-0000-00007B5B0000}"/>
    <cellStyle name="Note 4 4 3 3 3" xfId="22137" xr:uid="{00000000-0005-0000-0000-00007C5B0000}"/>
    <cellStyle name="Note 4 4 3 4" xfId="18290" xr:uid="{00000000-0005-0000-0000-00007D5B0000}"/>
    <cellStyle name="Note 4 4 3 5" xfId="19550" xr:uid="{00000000-0005-0000-0000-00007E5B0000}"/>
    <cellStyle name="Note 4 4 4" xfId="18291" xr:uid="{00000000-0005-0000-0000-00007F5B0000}"/>
    <cellStyle name="Note 4 4 4 2" xfId="18292" xr:uid="{00000000-0005-0000-0000-0000805B0000}"/>
    <cellStyle name="Note 4 4 4 2 2" xfId="18293" xr:uid="{00000000-0005-0000-0000-0000815B0000}"/>
    <cellStyle name="Note 4 4 4 2 3" xfId="22782" xr:uid="{00000000-0005-0000-0000-0000825B0000}"/>
    <cellStyle name="Note 4 4 4 3" xfId="18294" xr:uid="{00000000-0005-0000-0000-0000835B0000}"/>
    <cellStyle name="Note 4 4 4 4" xfId="20199" xr:uid="{00000000-0005-0000-0000-0000845B0000}"/>
    <cellStyle name="Note 4 4 5" xfId="18295" xr:uid="{00000000-0005-0000-0000-0000855B0000}"/>
    <cellStyle name="Note 4 4 5 2" xfId="18296" xr:uid="{00000000-0005-0000-0000-0000865B0000}"/>
    <cellStyle name="Note 4 4 5 3" xfId="21492" xr:uid="{00000000-0005-0000-0000-0000875B0000}"/>
    <cellStyle name="Note 4 4 6" xfId="18297" xr:uid="{00000000-0005-0000-0000-0000885B0000}"/>
    <cellStyle name="Note 4 4 7" xfId="18898" xr:uid="{00000000-0005-0000-0000-0000895B0000}"/>
    <cellStyle name="Note 4 5" xfId="18298" xr:uid="{00000000-0005-0000-0000-00008A5B0000}"/>
    <cellStyle name="Note 4 5 2" xfId="18299" xr:uid="{00000000-0005-0000-0000-00008B5B0000}"/>
    <cellStyle name="Note 4 5 2 2" xfId="18300" xr:uid="{00000000-0005-0000-0000-00008C5B0000}"/>
    <cellStyle name="Note 4 5 2 2 2" xfId="18301" xr:uid="{00000000-0005-0000-0000-00008D5B0000}"/>
    <cellStyle name="Note 4 5 2 2 2 2" xfId="18302" xr:uid="{00000000-0005-0000-0000-00008E5B0000}"/>
    <cellStyle name="Note 4 5 2 2 2 3" xfId="23588" xr:uid="{00000000-0005-0000-0000-00008F5B0000}"/>
    <cellStyle name="Note 4 5 2 2 3" xfId="18303" xr:uid="{00000000-0005-0000-0000-0000905B0000}"/>
    <cellStyle name="Note 4 5 2 2 4" xfId="21005" xr:uid="{00000000-0005-0000-0000-0000915B0000}"/>
    <cellStyle name="Note 4 5 2 3" xfId="18304" xr:uid="{00000000-0005-0000-0000-0000925B0000}"/>
    <cellStyle name="Note 4 5 2 3 2" xfId="18305" xr:uid="{00000000-0005-0000-0000-0000935B0000}"/>
    <cellStyle name="Note 4 5 2 3 3" xfId="22298" xr:uid="{00000000-0005-0000-0000-0000945B0000}"/>
    <cellStyle name="Note 4 5 2 4" xfId="18306" xr:uid="{00000000-0005-0000-0000-0000955B0000}"/>
    <cellStyle name="Note 4 5 2 5" xfId="19711" xr:uid="{00000000-0005-0000-0000-0000965B0000}"/>
    <cellStyle name="Note 4 5 3" xfId="18307" xr:uid="{00000000-0005-0000-0000-0000975B0000}"/>
    <cellStyle name="Note 4 5 3 2" xfId="18308" xr:uid="{00000000-0005-0000-0000-0000985B0000}"/>
    <cellStyle name="Note 4 5 3 2 2" xfId="18309" xr:uid="{00000000-0005-0000-0000-0000995B0000}"/>
    <cellStyle name="Note 4 5 3 2 3" xfId="22943" xr:uid="{00000000-0005-0000-0000-00009A5B0000}"/>
    <cellStyle name="Note 4 5 3 3" xfId="18310" xr:uid="{00000000-0005-0000-0000-00009B5B0000}"/>
    <cellStyle name="Note 4 5 3 4" xfId="20360" xr:uid="{00000000-0005-0000-0000-00009C5B0000}"/>
    <cellStyle name="Note 4 5 4" xfId="18311" xr:uid="{00000000-0005-0000-0000-00009D5B0000}"/>
    <cellStyle name="Note 4 5 4 2" xfId="18312" xr:uid="{00000000-0005-0000-0000-00009E5B0000}"/>
    <cellStyle name="Note 4 5 4 3" xfId="21653" xr:uid="{00000000-0005-0000-0000-00009F5B0000}"/>
    <cellStyle name="Note 4 5 5" xfId="18313" xr:uid="{00000000-0005-0000-0000-0000A05B0000}"/>
    <cellStyle name="Note 4 5 6" xfId="19063" xr:uid="{00000000-0005-0000-0000-0000A15B0000}"/>
    <cellStyle name="Note 4 6" xfId="18314" xr:uid="{00000000-0005-0000-0000-0000A25B0000}"/>
    <cellStyle name="Note 4 6 2" xfId="18315" xr:uid="{00000000-0005-0000-0000-0000A35B0000}"/>
    <cellStyle name="Note 4 6 2 2" xfId="18316" xr:uid="{00000000-0005-0000-0000-0000A45B0000}"/>
    <cellStyle name="Note 4 6 2 2 2" xfId="18317" xr:uid="{00000000-0005-0000-0000-0000A55B0000}"/>
    <cellStyle name="Note 4 6 2 2 3" xfId="23265" xr:uid="{00000000-0005-0000-0000-0000A65B0000}"/>
    <cellStyle name="Note 4 6 2 3" xfId="18318" xr:uid="{00000000-0005-0000-0000-0000A75B0000}"/>
    <cellStyle name="Note 4 6 2 4" xfId="20682" xr:uid="{00000000-0005-0000-0000-0000A85B0000}"/>
    <cellStyle name="Note 4 6 3" xfId="18319" xr:uid="{00000000-0005-0000-0000-0000A95B0000}"/>
    <cellStyle name="Note 4 6 3 2" xfId="18320" xr:uid="{00000000-0005-0000-0000-0000AA5B0000}"/>
    <cellStyle name="Note 4 6 3 3" xfId="21975" xr:uid="{00000000-0005-0000-0000-0000AB5B0000}"/>
    <cellStyle name="Note 4 6 4" xfId="18321" xr:uid="{00000000-0005-0000-0000-0000AC5B0000}"/>
    <cellStyle name="Note 4 6 5" xfId="19389" xr:uid="{00000000-0005-0000-0000-0000AD5B0000}"/>
    <cellStyle name="Note 4 7" xfId="18322" xr:uid="{00000000-0005-0000-0000-0000AE5B0000}"/>
    <cellStyle name="Note 4 7 2" xfId="18323" xr:uid="{00000000-0005-0000-0000-0000AF5B0000}"/>
    <cellStyle name="Note 4 7 2 2" xfId="18324" xr:uid="{00000000-0005-0000-0000-0000B05B0000}"/>
    <cellStyle name="Note 4 7 2 3" xfId="22620" xr:uid="{00000000-0005-0000-0000-0000B15B0000}"/>
    <cellStyle name="Note 4 7 3" xfId="18325" xr:uid="{00000000-0005-0000-0000-0000B25B0000}"/>
    <cellStyle name="Note 4 7 4" xfId="20037" xr:uid="{00000000-0005-0000-0000-0000B35B0000}"/>
    <cellStyle name="Note 4 8" xfId="18326" xr:uid="{00000000-0005-0000-0000-0000B45B0000}"/>
    <cellStyle name="Note 4 8 2" xfId="18327" xr:uid="{00000000-0005-0000-0000-0000B55B0000}"/>
    <cellStyle name="Note 4 8 3" xfId="21330" xr:uid="{00000000-0005-0000-0000-0000B65B0000}"/>
    <cellStyle name="Note 4 9" xfId="18328" xr:uid="{00000000-0005-0000-0000-0000B75B0000}"/>
    <cellStyle name="Note 5" xfId="18329" xr:uid="{00000000-0005-0000-0000-0000B85B0000}"/>
    <cellStyle name="Note 5 2" xfId="18330" xr:uid="{00000000-0005-0000-0000-0000B95B0000}"/>
    <cellStyle name="Note 5 2 2" xfId="18331" xr:uid="{00000000-0005-0000-0000-0000BA5B0000}"/>
    <cellStyle name="Note 5 2 2 2" xfId="18332" xr:uid="{00000000-0005-0000-0000-0000BB5B0000}"/>
    <cellStyle name="Note 5 2 2 2 2" xfId="18333" xr:uid="{00000000-0005-0000-0000-0000BC5B0000}"/>
    <cellStyle name="Note 5 2 2 2 2 2" xfId="18334" xr:uid="{00000000-0005-0000-0000-0000BD5B0000}"/>
    <cellStyle name="Note 5 2 2 2 2 2 2" xfId="18335" xr:uid="{00000000-0005-0000-0000-0000BE5B0000}"/>
    <cellStyle name="Note 5 2 2 2 2 2 2 2" xfId="18336" xr:uid="{00000000-0005-0000-0000-0000BF5B0000}"/>
    <cellStyle name="Note 5 2 2 2 2 2 2 3" xfId="23849" xr:uid="{00000000-0005-0000-0000-0000C05B0000}"/>
    <cellStyle name="Note 5 2 2 2 2 2 3" xfId="18337" xr:uid="{00000000-0005-0000-0000-0000C15B0000}"/>
    <cellStyle name="Note 5 2 2 2 2 2 4" xfId="21266" xr:uid="{00000000-0005-0000-0000-0000C25B0000}"/>
    <cellStyle name="Note 5 2 2 2 2 3" xfId="18338" xr:uid="{00000000-0005-0000-0000-0000C35B0000}"/>
    <cellStyle name="Note 5 2 2 2 2 3 2" xfId="18339" xr:uid="{00000000-0005-0000-0000-0000C45B0000}"/>
    <cellStyle name="Note 5 2 2 2 2 3 3" xfId="22559" xr:uid="{00000000-0005-0000-0000-0000C55B0000}"/>
    <cellStyle name="Note 5 2 2 2 2 4" xfId="18340" xr:uid="{00000000-0005-0000-0000-0000C65B0000}"/>
    <cellStyle name="Note 5 2 2 2 2 5" xfId="19972" xr:uid="{00000000-0005-0000-0000-0000C75B0000}"/>
    <cellStyle name="Note 5 2 2 2 3" xfId="18341" xr:uid="{00000000-0005-0000-0000-0000C85B0000}"/>
    <cellStyle name="Note 5 2 2 2 3 2" xfId="18342" xr:uid="{00000000-0005-0000-0000-0000C95B0000}"/>
    <cellStyle name="Note 5 2 2 2 3 2 2" xfId="18343" xr:uid="{00000000-0005-0000-0000-0000CA5B0000}"/>
    <cellStyle name="Note 5 2 2 2 3 2 3" xfId="23204" xr:uid="{00000000-0005-0000-0000-0000CB5B0000}"/>
    <cellStyle name="Note 5 2 2 2 3 3" xfId="18344" xr:uid="{00000000-0005-0000-0000-0000CC5B0000}"/>
    <cellStyle name="Note 5 2 2 2 3 4" xfId="20621" xr:uid="{00000000-0005-0000-0000-0000CD5B0000}"/>
    <cellStyle name="Note 5 2 2 2 4" xfId="18345" xr:uid="{00000000-0005-0000-0000-0000CE5B0000}"/>
    <cellStyle name="Note 5 2 2 2 4 2" xfId="18346" xr:uid="{00000000-0005-0000-0000-0000CF5B0000}"/>
    <cellStyle name="Note 5 2 2 2 4 3" xfId="21914" xr:uid="{00000000-0005-0000-0000-0000D05B0000}"/>
    <cellStyle name="Note 5 2 2 2 5" xfId="18347" xr:uid="{00000000-0005-0000-0000-0000D15B0000}"/>
    <cellStyle name="Note 5 2 2 2 6" xfId="19324" xr:uid="{00000000-0005-0000-0000-0000D25B0000}"/>
    <cellStyle name="Note 5 2 2 3" xfId="18348" xr:uid="{00000000-0005-0000-0000-0000D35B0000}"/>
    <cellStyle name="Note 5 2 2 3 2" xfId="18349" xr:uid="{00000000-0005-0000-0000-0000D45B0000}"/>
    <cellStyle name="Note 5 2 2 3 2 2" xfId="18350" xr:uid="{00000000-0005-0000-0000-0000D55B0000}"/>
    <cellStyle name="Note 5 2 2 3 2 2 2" xfId="18351" xr:uid="{00000000-0005-0000-0000-0000D65B0000}"/>
    <cellStyle name="Note 5 2 2 3 2 2 3" xfId="23527" xr:uid="{00000000-0005-0000-0000-0000D75B0000}"/>
    <cellStyle name="Note 5 2 2 3 2 3" xfId="18352" xr:uid="{00000000-0005-0000-0000-0000D85B0000}"/>
    <cellStyle name="Note 5 2 2 3 2 4" xfId="20944" xr:uid="{00000000-0005-0000-0000-0000D95B0000}"/>
    <cellStyle name="Note 5 2 2 3 3" xfId="18353" xr:uid="{00000000-0005-0000-0000-0000DA5B0000}"/>
    <cellStyle name="Note 5 2 2 3 3 2" xfId="18354" xr:uid="{00000000-0005-0000-0000-0000DB5B0000}"/>
    <cellStyle name="Note 5 2 2 3 3 3" xfId="22237" xr:uid="{00000000-0005-0000-0000-0000DC5B0000}"/>
    <cellStyle name="Note 5 2 2 3 4" xfId="18355" xr:uid="{00000000-0005-0000-0000-0000DD5B0000}"/>
    <cellStyle name="Note 5 2 2 3 5" xfId="19650" xr:uid="{00000000-0005-0000-0000-0000DE5B0000}"/>
    <cellStyle name="Note 5 2 2 4" xfId="18356" xr:uid="{00000000-0005-0000-0000-0000DF5B0000}"/>
    <cellStyle name="Note 5 2 2 4 2" xfId="18357" xr:uid="{00000000-0005-0000-0000-0000E05B0000}"/>
    <cellStyle name="Note 5 2 2 4 2 2" xfId="18358" xr:uid="{00000000-0005-0000-0000-0000E15B0000}"/>
    <cellStyle name="Note 5 2 2 4 2 3" xfId="22882" xr:uid="{00000000-0005-0000-0000-0000E25B0000}"/>
    <cellStyle name="Note 5 2 2 4 3" xfId="18359" xr:uid="{00000000-0005-0000-0000-0000E35B0000}"/>
    <cellStyle name="Note 5 2 2 4 4" xfId="20299" xr:uid="{00000000-0005-0000-0000-0000E45B0000}"/>
    <cellStyle name="Note 5 2 2 5" xfId="18360" xr:uid="{00000000-0005-0000-0000-0000E55B0000}"/>
    <cellStyle name="Note 5 2 2 5 2" xfId="18361" xr:uid="{00000000-0005-0000-0000-0000E65B0000}"/>
    <cellStyle name="Note 5 2 2 5 3" xfId="21592" xr:uid="{00000000-0005-0000-0000-0000E75B0000}"/>
    <cellStyle name="Note 5 2 2 6" xfId="18362" xr:uid="{00000000-0005-0000-0000-0000E85B0000}"/>
    <cellStyle name="Note 5 2 2 7" xfId="18998" xr:uid="{00000000-0005-0000-0000-0000E95B0000}"/>
    <cellStyle name="Note 5 2 3" xfId="18363" xr:uid="{00000000-0005-0000-0000-0000EA5B0000}"/>
    <cellStyle name="Note 5 2 3 2" xfId="18364" xr:uid="{00000000-0005-0000-0000-0000EB5B0000}"/>
    <cellStyle name="Note 5 2 3 2 2" xfId="18365" xr:uid="{00000000-0005-0000-0000-0000EC5B0000}"/>
    <cellStyle name="Note 5 2 3 2 2 2" xfId="18366" xr:uid="{00000000-0005-0000-0000-0000ED5B0000}"/>
    <cellStyle name="Note 5 2 3 2 2 2 2" xfId="18367" xr:uid="{00000000-0005-0000-0000-0000EE5B0000}"/>
    <cellStyle name="Note 5 2 3 2 2 2 3" xfId="23688" xr:uid="{00000000-0005-0000-0000-0000EF5B0000}"/>
    <cellStyle name="Note 5 2 3 2 2 3" xfId="18368" xr:uid="{00000000-0005-0000-0000-0000F05B0000}"/>
    <cellStyle name="Note 5 2 3 2 2 4" xfId="21105" xr:uid="{00000000-0005-0000-0000-0000F15B0000}"/>
    <cellStyle name="Note 5 2 3 2 3" xfId="18369" xr:uid="{00000000-0005-0000-0000-0000F25B0000}"/>
    <cellStyle name="Note 5 2 3 2 3 2" xfId="18370" xr:uid="{00000000-0005-0000-0000-0000F35B0000}"/>
    <cellStyle name="Note 5 2 3 2 3 3" xfId="22398" xr:uid="{00000000-0005-0000-0000-0000F45B0000}"/>
    <cellStyle name="Note 5 2 3 2 4" xfId="18371" xr:uid="{00000000-0005-0000-0000-0000F55B0000}"/>
    <cellStyle name="Note 5 2 3 2 5" xfId="19811" xr:uid="{00000000-0005-0000-0000-0000F65B0000}"/>
    <cellStyle name="Note 5 2 3 3" xfId="18372" xr:uid="{00000000-0005-0000-0000-0000F75B0000}"/>
    <cellStyle name="Note 5 2 3 3 2" xfId="18373" xr:uid="{00000000-0005-0000-0000-0000F85B0000}"/>
    <cellStyle name="Note 5 2 3 3 2 2" xfId="18374" xr:uid="{00000000-0005-0000-0000-0000F95B0000}"/>
    <cellStyle name="Note 5 2 3 3 2 3" xfId="23043" xr:uid="{00000000-0005-0000-0000-0000FA5B0000}"/>
    <cellStyle name="Note 5 2 3 3 3" xfId="18375" xr:uid="{00000000-0005-0000-0000-0000FB5B0000}"/>
    <cellStyle name="Note 5 2 3 3 4" xfId="20460" xr:uid="{00000000-0005-0000-0000-0000FC5B0000}"/>
    <cellStyle name="Note 5 2 3 4" xfId="18376" xr:uid="{00000000-0005-0000-0000-0000FD5B0000}"/>
    <cellStyle name="Note 5 2 3 4 2" xfId="18377" xr:uid="{00000000-0005-0000-0000-0000FE5B0000}"/>
    <cellStyle name="Note 5 2 3 4 3" xfId="21753" xr:uid="{00000000-0005-0000-0000-0000FF5B0000}"/>
    <cellStyle name="Note 5 2 3 5" xfId="18378" xr:uid="{00000000-0005-0000-0000-0000005C0000}"/>
    <cellStyle name="Note 5 2 3 6" xfId="19163" xr:uid="{00000000-0005-0000-0000-0000015C0000}"/>
    <cellStyle name="Note 5 2 4" xfId="18379" xr:uid="{00000000-0005-0000-0000-0000025C0000}"/>
    <cellStyle name="Note 5 2 4 2" xfId="18380" xr:uid="{00000000-0005-0000-0000-0000035C0000}"/>
    <cellStyle name="Note 5 2 4 2 2" xfId="18381" xr:uid="{00000000-0005-0000-0000-0000045C0000}"/>
    <cellStyle name="Note 5 2 4 2 2 2" xfId="18382" xr:uid="{00000000-0005-0000-0000-0000055C0000}"/>
    <cellStyle name="Note 5 2 4 2 2 3" xfId="23366" xr:uid="{00000000-0005-0000-0000-0000065C0000}"/>
    <cellStyle name="Note 5 2 4 2 3" xfId="18383" xr:uid="{00000000-0005-0000-0000-0000075C0000}"/>
    <cellStyle name="Note 5 2 4 2 4" xfId="20783" xr:uid="{00000000-0005-0000-0000-0000085C0000}"/>
    <cellStyle name="Note 5 2 4 3" xfId="18384" xr:uid="{00000000-0005-0000-0000-0000095C0000}"/>
    <cellStyle name="Note 5 2 4 3 2" xfId="18385" xr:uid="{00000000-0005-0000-0000-00000A5C0000}"/>
    <cellStyle name="Note 5 2 4 3 3" xfId="22076" xr:uid="{00000000-0005-0000-0000-00000B5C0000}"/>
    <cellStyle name="Note 5 2 4 4" xfId="18386" xr:uid="{00000000-0005-0000-0000-00000C5C0000}"/>
    <cellStyle name="Note 5 2 4 5" xfId="19489" xr:uid="{00000000-0005-0000-0000-00000D5C0000}"/>
    <cellStyle name="Note 5 2 5" xfId="18387" xr:uid="{00000000-0005-0000-0000-00000E5C0000}"/>
    <cellStyle name="Note 5 2 5 2" xfId="18388" xr:uid="{00000000-0005-0000-0000-00000F5C0000}"/>
    <cellStyle name="Note 5 2 5 2 2" xfId="18389" xr:uid="{00000000-0005-0000-0000-0000105C0000}"/>
    <cellStyle name="Note 5 2 5 2 3" xfId="22721" xr:uid="{00000000-0005-0000-0000-0000115C0000}"/>
    <cellStyle name="Note 5 2 5 3" xfId="18390" xr:uid="{00000000-0005-0000-0000-0000125C0000}"/>
    <cellStyle name="Note 5 2 5 4" xfId="20138" xr:uid="{00000000-0005-0000-0000-0000135C0000}"/>
    <cellStyle name="Note 5 2 6" xfId="18391" xr:uid="{00000000-0005-0000-0000-0000145C0000}"/>
    <cellStyle name="Note 5 2 6 2" xfId="18392" xr:uid="{00000000-0005-0000-0000-0000155C0000}"/>
    <cellStyle name="Note 5 2 6 3" xfId="21431" xr:uid="{00000000-0005-0000-0000-0000165C0000}"/>
    <cellStyle name="Note 5 2 7" xfId="18393" xr:uid="{00000000-0005-0000-0000-0000175C0000}"/>
    <cellStyle name="Note 5 2 8" xfId="18832" xr:uid="{00000000-0005-0000-0000-0000185C0000}"/>
    <cellStyle name="Note 5 3" xfId="18394" xr:uid="{00000000-0005-0000-0000-0000195C0000}"/>
    <cellStyle name="Note 5 3 2" xfId="18395" xr:uid="{00000000-0005-0000-0000-00001A5C0000}"/>
    <cellStyle name="Note 5 3 2 2" xfId="18396" xr:uid="{00000000-0005-0000-0000-00001B5C0000}"/>
    <cellStyle name="Note 5 3 2 2 2" xfId="18397" xr:uid="{00000000-0005-0000-0000-00001C5C0000}"/>
    <cellStyle name="Note 5 3 2 2 2 2" xfId="18398" xr:uid="{00000000-0005-0000-0000-00001D5C0000}"/>
    <cellStyle name="Note 5 3 2 2 2 2 2" xfId="18399" xr:uid="{00000000-0005-0000-0000-00001E5C0000}"/>
    <cellStyle name="Note 5 3 2 2 2 2 3" xfId="23769" xr:uid="{00000000-0005-0000-0000-00001F5C0000}"/>
    <cellStyle name="Note 5 3 2 2 2 3" xfId="18400" xr:uid="{00000000-0005-0000-0000-0000205C0000}"/>
    <cellStyle name="Note 5 3 2 2 2 4" xfId="21186" xr:uid="{00000000-0005-0000-0000-0000215C0000}"/>
    <cellStyle name="Note 5 3 2 2 3" xfId="18401" xr:uid="{00000000-0005-0000-0000-0000225C0000}"/>
    <cellStyle name="Note 5 3 2 2 3 2" xfId="18402" xr:uid="{00000000-0005-0000-0000-0000235C0000}"/>
    <cellStyle name="Note 5 3 2 2 3 3" xfId="22479" xr:uid="{00000000-0005-0000-0000-0000245C0000}"/>
    <cellStyle name="Note 5 3 2 2 4" xfId="18403" xr:uid="{00000000-0005-0000-0000-0000255C0000}"/>
    <cellStyle name="Note 5 3 2 2 5" xfId="19892" xr:uid="{00000000-0005-0000-0000-0000265C0000}"/>
    <cellStyle name="Note 5 3 2 3" xfId="18404" xr:uid="{00000000-0005-0000-0000-0000275C0000}"/>
    <cellStyle name="Note 5 3 2 3 2" xfId="18405" xr:uid="{00000000-0005-0000-0000-0000285C0000}"/>
    <cellStyle name="Note 5 3 2 3 2 2" xfId="18406" xr:uid="{00000000-0005-0000-0000-0000295C0000}"/>
    <cellStyle name="Note 5 3 2 3 2 3" xfId="23124" xr:uid="{00000000-0005-0000-0000-00002A5C0000}"/>
    <cellStyle name="Note 5 3 2 3 3" xfId="18407" xr:uid="{00000000-0005-0000-0000-00002B5C0000}"/>
    <cellStyle name="Note 5 3 2 3 4" xfId="20541" xr:uid="{00000000-0005-0000-0000-00002C5C0000}"/>
    <cellStyle name="Note 5 3 2 4" xfId="18408" xr:uid="{00000000-0005-0000-0000-00002D5C0000}"/>
    <cellStyle name="Note 5 3 2 4 2" xfId="18409" xr:uid="{00000000-0005-0000-0000-00002E5C0000}"/>
    <cellStyle name="Note 5 3 2 4 3" xfId="21834" xr:uid="{00000000-0005-0000-0000-00002F5C0000}"/>
    <cellStyle name="Note 5 3 2 5" xfId="18410" xr:uid="{00000000-0005-0000-0000-0000305C0000}"/>
    <cellStyle name="Note 5 3 2 6" xfId="19244" xr:uid="{00000000-0005-0000-0000-0000315C0000}"/>
    <cellStyle name="Note 5 3 3" xfId="18411" xr:uid="{00000000-0005-0000-0000-0000325C0000}"/>
    <cellStyle name="Note 5 3 3 2" xfId="18412" xr:uid="{00000000-0005-0000-0000-0000335C0000}"/>
    <cellStyle name="Note 5 3 3 2 2" xfId="18413" xr:uid="{00000000-0005-0000-0000-0000345C0000}"/>
    <cellStyle name="Note 5 3 3 2 2 2" xfId="18414" xr:uid="{00000000-0005-0000-0000-0000355C0000}"/>
    <cellStyle name="Note 5 3 3 2 2 3" xfId="23447" xr:uid="{00000000-0005-0000-0000-0000365C0000}"/>
    <cellStyle name="Note 5 3 3 2 3" xfId="18415" xr:uid="{00000000-0005-0000-0000-0000375C0000}"/>
    <cellStyle name="Note 5 3 3 2 4" xfId="20864" xr:uid="{00000000-0005-0000-0000-0000385C0000}"/>
    <cellStyle name="Note 5 3 3 3" xfId="18416" xr:uid="{00000000-0005-0000-0000-0000395C0000}"/>
    <cellStyle name="Note 5 3 3 3 2" xfId="18417" xr:uid="{00000000-0005-0000-0000-00003A5C0000}"/>
    <cellStyle name="Note 5 3 3 3 3" xfId="22157" xr:uid="{00000000-0005-0000-0000-00003B5C0000}"/>
    <cellStyle name="Note 5 3 3 4" xfId="18418" xr:uid="{00000000-0005-0000-0000-00003C5C0000}"/>
    <cellStyle name="Note 5 3 3 5" xfId="19570" xr:uid="{00000000-0005-0000-0000-00003D5C0000}"/>
    <cellStyle name="Note 5 3 4" xfId="18419" xr:uid="{00000000-0005-0000-0000-00003E5C0000}"/>
    <cellStyle name="Note 5 3 4 2" xfId="18420" xr:uid="{00000000-0005-0000-0000-00003F5C0000}"/>
    <cellStyle name="Note 5 3 4 2 2" xfId="18421" xr:uid="{00000000-0005-0000-0000-0000405C0000}"/>
    <cellStyle name="Note 5 3 4 2 3" xfId="22802" xr:uid="{00000000-0005-0000-0000-0000415C0000}"/>
    <cellStyle name="Note 5 3 4 3" xfId="18422" xr:uid="{00000000-0005-0000-0000-0000425C0000}"/>
    <cellStyle name="Note 5 3 4 4" xfId="20219" xr:uid="{00000000-0005-0000-0000-0000435C0000}"/>
    <cellStyle name="Note 5 3 5" xfId="18423" xr:uid="{00000000-0005-0000-0000-0000445C0000}"/>
    <cellStyle name="Note 5 3 5 2" xfId="18424" xr:uid="{00000000-0005-0000-0000-0000455C0000}"/>
    <cellStyle name="Note 5 3 5 3" xfId="21512" xr:uid="{00000000-0005-0000-0000-0000465C0000}"/>
    <cellStyle name="Note 5 3 6" xfId="18425" xr:uid="{00000000-0005-0000-0000-0000475C0000}"/>
    <cellStyle name="Note 5 3 7" xfId="18918" xr:uid="{00000000-0005-0000-0000-0000485C0000}"/>
    <cellStyle name="Note 5 4" xfId="18426" xr:uid="{00000000-0005-0000-0000-0000495C0000}"/>
    <cellStyle name="Note 5 4 2" xfId="18427" xr:uid="{00000000-0005-0000-0000-00004A5C0000}"/>
    <cellStyle name="Note 5 4 2 2" xfId="18428" xr:uid="{00000000-0005-0000-0000-00004B5C0000}"/>
    <cellStyle name="Note 5 4 2 2 2" xfId="18429" xr:uid="{00000000-0005-0000-0000-00004C5C0000}"/>
    <cellStyle name="Note 5 4 2 2 2 2" xfId="18430" xr:uid="{00000000-0005-0000-0000-00004D5C0000}"/>
    <cellStyle name="Note 5 4 2 2 2 3" xfId="23608" xr:uid="{00000000-0005-0000-0000-00004E5C0000}"/>
    <cellStyle name="Note 5 4 2 2 3" xfId="18431" xr:uid="{00000000-0005-0000-0000-00004F5C0000}"/>
    <cellStyle name="Note 5 4 2 2 4" xfId="21025" xr:uid="{00000000-0005-0000-0000-0000505C0000}"/>
    <cellStyle name="Note 5 4 2 3" xfId="18432" xr:uid="{00000000-0005-0000-0000-0000515C0000}"/>
    <cellStyle name="Note 5 4 2 3 2" xfId="18433" xr:uid="{00000000-0005-0000-0000-0000525C0000}"/>
    <cellStyle name="Note 5 4 2 3 3" xfId="22318" xr:uid="{00000000-0005-0000-0000-0000535C0000}"/>
    <cellStyle name="Note 5 4 2 4" xfId="18434" xr:uid="{00000000-0005-0000-0000-0000545C0000}"/>
    <cellStyle name="Note 5 4 2 5" xfId="19731" xr:uid="{00000000-0005-0000-0000-0000555C0000}"/>
    <cellStyle name="Note 5 4 3" xfId="18435" xr:uid="{00000000-0005-0000-0000-0000565C0000}"/>
    <cellStyle name="Note 5 4 3 2" xfId="18436" xr:uid="{00000000-0005-0000-0000-0000575C0000}"/>
    <cellStyle name="Note 5 4 3 2 2" xfId="18437" xr:uid="{00000000-0005-0000-0000-0000585C0000}"/>
    <cellStyle name="Note 5 4 3 2 3" xfId="22963" xr:uid="{00000000-0005-0000-0000-0000595C0000}"/>
    <cellStyle name="Note 5 4 3 3" xfId="18438" xr:uid="{00000000-0005-0000-0000-00005A5C0000}"/>
    <cellStyle name="Note 5 4 3 4" xfId="20380" xr:uid="{00000000-0005-0000-0000-00005B5C0000}"/>
    <cellStyle name="Note 5 4 4" xfId="18439" xr:uid="{00000000-0005-0000-0000-00005C5C0000}"/>
    <cellStyle name="Note 5 4 4 2" xfId="18440" xr:uid="{00000000-0005-0000-0000-00005D5C0000}"/>
    <cellStyle name="Note 5 4 4 3" xfId="21673" xr:uid="{00000000-0005-0000-0000-00005E5C0000}"/>
    <cellStyle name="Note 5 4 5" xfId="18441" xr:uid="{00000000-0005-0000-0000-00005F5C0000}"/>
    <cellStyle name="Note 5 4 6" xfId="19083" xr:uid="{00000000-0005-0000-0000-0000605C0000}"/>
    <cellStyle name="Note 5 5" xfId="18442" xr:uid="{00000000-0005-0000-0000-0000615C0000}"/>
    <cellStyle name="Note 5 5 2" xfId="18443" xr:uid="{00000000-0005-0000-0000-0000625C0000}"/>
    <cellStyle name="Note 5 5 2 2" xfId="18444" xr:uid="{00000000-0005-0000-0000-0000635C0000}"/>
    <cellStyle name="Note 5 5 2 2 2" xfId="18445" xr:uid="{00000000-0005-0000-0000-0000645C0000}"/>
    <cellStyle name="Note 5 5 2 2 3" xfId="23285" xr:uid="{00000000-0005-0000-0000-0000655C0000}"/>
    <cellStyle name="Note 5 5 2 3" xfId="18446" xr:uid="{00000000-0005-0000-0000-0000665C0000}"/>
    <cellStyle name="Note 5 5 2 4" xfId="20702" xr:uid="{00000000-0005-0000-0000-0000675C0000}"/>
    <cellStyle name="Note 5 5 3" xfId="18447" xr:uid="{00000000-0005-0000-0000-0000685C0000}"/>
    <cellStyle name="Note 5 5 3 2" xfId="18448" xr:uid="{00000000-0005-0000-0000-0000695C0000}"/>
    <cellStyle name="Note 5 5 3 3" xfId="21995" xr:uid="{00000000-0005-0000-0000-00006A5C0000}"/>
    <cellStyle name="Note 5 5 4" xfId="18449" xr:uid="{00000000-0005-0000-0000-00006B5C0000}"/>
    <cellStyle name="Note 5 5 5" xfId="19409" xr:uid="{00000000-0005-0000-0000-00006C5C0000}"/>
    <cellStyle name="Note 5 6" xfId="18450" xr:uid="{00000000-0005-0000-0000-00006D5C0000}"/>
    <cellStyle name="Note 5 6 2" xfId="18451" xr:uid="{00000000-0005-0000-0000-00006E5C0000}"/>
    <cellStyle name="Note 5 6 2 2" xfId="18452" xr:uid="{00000000-0005-0000-0000-00006F5C0000}"/>
    <cellStyle name="Note 5 6 2 3" xfId="22640" xr:uid="{00000000-0005-0000-0000-0000705C0000}"/>
    <cellStyle name="Note 5 6 3" xfId="18453" xr:uid="{00000000-0005-0000-0000-0000715C0000}"/>
    <cellStyle name="Note 5 6 4" xfId="20057" xr:uid="{00000000-0005-0000-0000-0000725C0000}"/>
    <cellStyle name="Note 5 7" xfId="18454" xr:uid="{00000000-0005-0000-0000-0000735C0000}"/>
    <cellStyle name="Note 5 7 2" xfId="18455" xr:uid="{00000000-0005-0000-0000-0000745C0000}"/>
    <cellStyle name="Note 5 7 3" xfId="21350" xr:uid="{00000000-0005-0000-0000-0000755C0000}"/>
    <cellStyle name="Note 5 8" xfId="18456" xr:uid="{00000000-0005-0000-0000-0000765C0000}"/>
    <cellStyle name="Note 5 9" xfId="18732" xr:uid="{00000000-0005-0000-0000-0000775C0000}"/>
    <cellStyle name="Note 6" xfId="18457" xr:uid="{00000000-0005-0000-0000-0000785C0000}"/>
    <cellStyle name="Note 6 2" xfId="18458" xr:uid="{00000000-0005-0000-0000-0000795C0000}"/>
    <cellStyle name="Note 6 2 2" xfId="18459" xr:uid="{00000000-0005-0000-0000-00007A5C0000}"/>
    <cellStyle name="Note 6 2 2 2" xfId="18460" xr:uid="{00000000-0005-0000-0000-00007B5C0000}"/>
    <cellStyle name="Note 6 2 2 2 2" xfId="18461" xr:uid="{00000000-0005-0000-0000-00007C5C0000}"/>
    <cellStyle name="Note 6 2 2 2 2 2" xfId="18462" xr:uid="{00000000-0005-0000-0000-00007D5C0000}"/>
    <cellStyle name="Note 6 2 2 2 2 2 2" xfId="18463" xr:uid="{00000000-0005-0000-0000-00007E5C0000}"/>
    <cellStyle name="Note 6 2 2 2 2 2 3" xfId="23809" xr:uid="{00000000-0005-0000-0000-00007F5C0000}"/>
    <cellStyle name="Note 6 2 2 2 2 3" xfId="18464" xr:uid="{00000000-0005-0000-0000-0000805C0000}"/>
    <cellStyle name="Note 6 2 2 2 2 4" xfId="21226" xr:uid="{00000000-0005-0000-0000-0000815C0000}"/>
    <cellStyle name="Note 6 2 2 2 3" xfId="18465" xr:uid="{00000000-0005-0000-0000-0000825C0000}"/>
    <cellStyle name="Note 6 2 2 2 3 2" xfId="18466" xr:uid="{00000000-0005-0000-0000-0000835C0000}"/>
    <cellStyle name="Note 6 2 2 2 3 3" xfId="22519" xr:uid="{00000000-0005-0000-0000-0000845C0000}"/>
    <cellStyle name="Note 6 2 2 2 4" xfId="18467" xr:uid="{00000000-0005-0000-0000-0000855C0000}"/>
    <cellStyle name="Note 6 2 2 2 5" xfId="19932" xr:uid="{00000000-0005-0000-0000-0000865C0000}"/>
    <cellStyle name="Note 6 2 2 3" xfId="18468" xr:uid="{00000000-0005-0000-0000-0000875C0000}"/>
    <cellStyle name="Note 6 2 2 3 2" xfId="18469" xr:uid="{00000000-0005-0000-0000-0000885C0000}"/>
    <cellStyle name="Note 6 2 2 3 2 2" xfId="18470" xr:uid="{00000000-0005-0000-0000-0000895C0000}"/>
    <cellStyle name="Note 6 2 2 3 2 3" xfId="23164" xr:uid="{00000000-0005-0000-0000-00008A5C0000}"/>
    <cellStyle name="Note 6 2 2 3 3" xfId="18471" xr:uid="{00000000-0005-0000-0000-00008B5C0000}"/>
    <cellStyle name="Note 6 2 2 3 4" xfId="20581" xr:uid="{00000000-0005-0000-0000-00008C5C0000}"/>
    <cellStyle name="Note 6 2 2 4" xfId="18472" xr:uid="{00000000-0005-0000-0000-00008D5C0000}"/>
    <cellStyle name="Note 6 2 2 4 2" xfId="18473" xr:uid="{00000000-0005-0000-0000-00008E5C0000}"/>
    <cellStyle name="Note 6 2 2 4 3" xfId="21874" xr:uid="{00000000-0005-0000-0000-00008F5C0000}"/>
    <cellStyle name="Note 6 2 2 5" xfId="18474" xr:uid="{00000000-0005-0000-0000-0000905C0000}"/>
    <cellStyle name="Note 6 2 2 6" xfId="19284" xr:uid="{00000000-0005-0000-0000-0000915C0000}"/>
    <cellStyle name="Note 6 2 3" xfId="18475" xr:uid="{00000000-0005-0000-0000-0000925C0000}"/>
    <cellStyle name="Note 6 2 3 2" xfId="18476" xr:uid="{00000000-0005-0000-0000-0000935C0000}"/>
    <cellStyle name="Note 6 2 3 2 2" xfId="18477" xr:uid="{00000000-0005-0000-0000-0000945C0000}"/>
    <cellStyle name="Note 6 2 3 2 2 2" xfId="18478" xr:uid="{00000000-0005-0000-0000-0000955C0000}"/>
    <cellStyle name="Note 6 2 3 2 2 3" xfId="23487" xr:uid="{00000000-0005-0000-0000-0000965C0000}"/>
    <cellStyle name="Note 6 2 3 2 3" xfId="18479" xr:uid="{00000000-0005-0000-0000-0000975C0000}"/>
    <cellStyle name="Note 6 2 3 2 4" xfId="20904" xr:uid="{00000000-0005-0000-0000-0000985C0000}"/>
    <cellStyle name="Note 6 2 3 3" xfId="18480" xr:uid="{00000000-0005-0000-0000-0000995C0000}"/>
    <cellStyle name="Note 6 2 3 3 2" xfId="18481" xr:uid="{00000000-0005-0000-0000-00009A5C0000}"/>
    <cellStyle name="Note 6 2 3 3 3" xfId="22197" xr:uid="{00000000-0005-0000-0000-00009B5C0000}"/>
    <cellStyle name="Note 6 2 3 4" xfId="18482" xr:uid="{00000000-0005-0000-0000-00009C5C0000}"/>
    <cellStyle name="Note 6 2 3 5" xfId="19610" xr:uid="{00000000-0005-0000-0000-00009D5C0000}"/>
    <cellStyle name="Note 6 2 4" xfId="18483" xr:uid="{00000000-0005-0000-0000-00009E5C0000}"/>
    <cellStyle name="Note 6 2 4 2" xfId="18484" xr:uid="{00000000-0005-0000-0000-00009F5C0000}"/>
    <cellStyle name="Note 6 2 4 2 2" xfId="18485" xr:uid="{00000000-0005-0000-0000-0000A05C0000}"/>
    <cellStyle name="Note 6 2 4 2 3" xfId="22842" xr:uid="{00000000-0005-0000-0000-0000A15C0000}"/>
    <cellStyle name="Note 6 2 4 3" xfId="18486" xr:uid="{00000000-0005-0000-0000-0000A25C0000}"/>
    <cellStyle name="Note 6 2 4 4" xfId="20259" xr:uid="{00000000-0005-0000-0000-0000A35C0000}"/>
    <cellStyle name="Note 6 2 5" xfId="18487" xr:uid="{00000000-0005-0000-0000-0000A45C0000}"/>
    <cellStyle name="Note 6 2 5 2" xfId="18488" xr:uid="{00000000-0005-0000-0000-0000A55C0000}"/>
    <cellStyle name="Note 6 2 5 3" xfId="21552" xr:uid="{00000000-0005-0000-0000-0000A65C0000}"/>
    <cellStyle name="Note 6 2 6" xfId="18489" xr:uid="{00000000-0005-0000-0000-0000A75C0000}"/>
    <cellStyle name="Note 6 2 7" xfId="18958" xr:uid="{00000000-0005-0000-0000-0000A85C0000}"/>
    <cellStyle name="Note 6 3" xfId="18490" xr:uid="{00000000-0005-0000-0000-0000A95C0000}"/>
    <cellStyle name="Note 6 3 2" xfId="18491" xr:uid="{00000000-0005-0000-0000-0000AA5C0000}"/>
    <cellStyle name="Note 6 3 2 2" xfId="18492" xr:uid="{00000000-0005-0000-0000-0000AB5C0000}"/>
    <cellStyle name="Note 6 3 2 2 2" xfId="18493" xr:uid="{00000000-0005-0000-0000-0000AC5C0000}"/>
    <cellStyle name="Note 6 3 2 2 2 2" xfId="18494" xr:uid="{00000000-0005-0000-0000-0000AD5C0000}"/>
    <cellStyle name="Note 6 3 2 2 2 3" xfId="23648" xr:uid="{00000000-0005-0000-0000-0000AE5C0000}"/>
    <cellStyle name="Note 6 3 2 2 3" xfId="18495" xr:uid="{00000000-0005-0000-0000-0000AF5C0000}"/>
    <cellStyle name="Note 6 3 2 2 4" xfId="21065" xr:uid="{00000000-0005-0000-0000-0000B05C0000}"/>
    <cellStyle name="Note 6 3 2 3" xfId="18496" xr:uid="{00000000-0005-0000-0000-0000B15C0000}"/>
    <cellStyle name="Note 6 3 2 3 2" xfId="18497" xr:uid="{00000000-0005-0000-0000-0000B25C0000}"/>
    <cellStyle name="Note 6 3 2 3 3" xfId="22358" xr:uid="{00000000-0005-0000-0000-0000B35C0000}"/>
    <cellStyle name="Note 6 3 2 4" xfId="18498" xr:uid="{00000000-0005-0000-0000-0000B45C0000}"/>
    <cellStyle name="Note 6 3 2 5" xfId="19771" xr:uid="{00000000-0005-0000-0000-0000B55C0000}"/>
    <cellStyle name="Note 6 3 3" xfId="18499" xr:uid="{00000000-0005-0000-0000-0000B65C0000}"/>
    <cellStyle name="Note 6 3 3 2" xfId="18500" xr:uid="{00000000-0005-0000-0000-0000B75C0000}"/>
    <cellStyle name="Note 6 3 3 2 2" xfId="18501" xr:uid="{00000000-0005-0000-0000-0000B85C0000}"/>
    <cellStyle name="Note 6 3 3 2 3" xfId="23003" xr:uid="{00000000-0005-0000-0000-0000B95C0000}"/>
    <cellStyle name="Note 6 3 3 3" xfId="18502" xr:uid="{00000000-0005-0000-0000-0000BA5C0000}"/>
    <cellStyle name="Note 6 3 3 4" xfId="20420" xr:uid="{00000000-0005-0000-0000-0000BB5C0000}"/>
    <cellStyle name="Note 6 3 4" xfId="18503" xr:uid="{00000000-0005-0000-0000-0000BC5C0000}"/>
    <cellStyle name="Note 6 3 4 2" xfId="18504" xr:uid="{00000000-0005-0000-0000-0000BD5C0000}"/>
    <cellStyle name="Note 6 3 4 3" xfId="21713" xr:uid="{00000000-0005-0000-0000-0000BE5C0000}"/>
    <cellStyle name="Note 6 3 5" xfId="18505" xr:uid="{00000000-0005-0000-0000-0000BF5C0000}"/>
    <cellStyle name="Note 6 3 6" xfId="19123" xr:uid="{00000000-0005-0000-0000-0000C05C0000}"/>
    <cellStyle name="Note 6 4" xfId="18506" xr:uid="{00000000-0005-0000-0000-0000C15C0000}"/>
    <cellStyle name="Note 6 4 2" xfId="18507" xr:uid="{00000000-0005-0000-0000-0000C25C0000}"/>
    <cellStyle name="Note 6 4 2 2" xfId="18508" xr:uid="{00000000-0005-0000-0000-0000C35C0000}"/>
    <cellStyle name="Note 6 4 2 2 2" xfId="18509" xr:uid="{00000000-0005-0000-0000-0000C45C0000}"/>
    <cellStyle name="Note 6 4 2 2 3" xfId="23325" xr:uid="{00000000-0005-0000-0000-0000C55C0000}"/>
    <cellStyle name="Note 6 4 2 3" xfId="18510" xr:uid="{00000000-0005-0000-0000-0000C65C0000}"/>
    <cellStyle name="Note 6 4 2 4" xfId="20742" xr:uid="{00000000-0005-0000-0000-0000C75C0000}"/>
    <cellStyle name="Note 6 4 3" xfId="18511" xr:uid="{00000000-0005-0000-0000-0000C85C0000}"/>
    <cellStyle name="Note 6 4 3 2" xfId="18512" xr:uid="{00000000-0005-0000-0000-0000C95C0000}"/>
    <cellStyle name="Note 6 4 3 3" xfId="22035" xr:uid="{00000000-0005-0000-0000-0000CA5C0000}"/>
    <cellStyle name="Note 6 4 4" xfId="18513" xr:uid="{00000000-0005-0000-0000-0000CB5C0000}"/>
    <cellStyle name="Note 6 4 5" xfId="19449" xr:uid="{00000000-0005-0000-0000-0000CC5C0000}"/>
    <cellStyle name="Note 6 5" xfId="18514" xr:uid="{00000000-0005-0000-0000-0000CD5C0000}"/>
    <cellStyle name="Note 6 5 2" xfId="18515" xr:uid="{00000000-0005-0000-0000-0000CE5C0000}"/>
    <cellStyle name="Note 6 5 2 2" xfId="18516" xr:uid="{00000000-0005-0000-0000-0000CF5C0000}"/>
    <cellStyle name="Note 6 5 2 3" xfId="22680" xr:uid="{00000000-0005-0000-0000-0000D05C0000}"/>
    <cellStyle name="Note 6 5 3" xfId="18517" xr:uid="{00000000-0005-0000-0000-0000D15C0000}"/>
    <cellStyle name="Note 6 5 4" xfId="20097" xr:uid="{00000000-0005-0000-0000-0000D25C0000}"/>
    <cellStyle name="Note 6 6" xfId="18518" xr:uid="{00000000-0005-0000-0000-0000D35C0000}"/>
    <cellStyle name="Note 6 6 2" xfId="18519" xr:uid="{00000000-0005-0000-0000-0000D45C0000}"/>
    <cellStyle name="Note 6 6 3" xfId="21390" xr:uid="{00000000-0005-0000-0000-0000D55C0000}"/>
    <cellStyle name="Note 6 7" xfId="18520" xr:uid="{00000000-0005-0000-0000-0000D65C0000}"/>
    <cellStyle name="Note 6 8" xfId="18785" xr:uid="{00000000-0005-0000-0000-0000D75C0000}"/>
    <cellStyle name="Note 7" xfId="18521" xr:uid="{00000000-0005-0000-0000-0000D85C0000}"/>
    <cellStyle name="Note 7 2" xfId="18522" xr:uid="{00000000-0005-0000-0000-0000D95C0000}"/>
    <cellStyle name="Note 7 2 2" xfId="18523" xr:uid="{00000000-0005-0000-0000-0000DA5C0000}"/>
    <cellStyle name="Note 7 2 2 2" xfId="18524" xr:uid="{00000000-0005-0000-0000-0000DB5C0000}"/>
    <cellStyle name="Note 7 2 2 2 2" xfId="18525" xr:uid="{00000000-0005-0000-0000-0000DC5C0000}"/>
    <cellStyle name="Note 7 2 2 2 2 2" xfId="18526" xr:uid="{00000000-0005-0000-0000-0000DD5C0000}"/>
    <cellStyle name="Note 7 2 2 2 2 3" xfId="23728" xr:uid="{00000000-0005-0000-0000-0000DE5C0000}"/>
    <cellStyle name="Note 7 2 2 2 3" xfId="18527" xr:uid="{00000000-0005-0000-0000-0000DF5C0000}"/>
    <cellStyle name="Note 7 2 2 2 4" xfId="21145" xr:uid="{00000000-0005-0000-0000-0000E05C0000}"/>
    <cellStyle name="Note 7 2 2 3" xfId="18528" xr:uid="{00000000-0005-0000-0000-0000E15C0000}"/>
    <cellStyle name="Note 7 2 2 3 2" xfId="18529" xr:uid="{00000000-0005-0000-0000-0000E25C0000}"/>
    <cellStyle name="Note 7 2 2 3 3" xfId="22438" xr:uid="{00000000-0005-0000-0000-0000E35C0000}"/>
    <cellStyle name="Note 7 2 2 4" xfId="18530" xr:uid="{00000000-0005-0000-0000-0000E45C0000}"/>
    <cellStyle name="Note 7 2 2 5" xfId="19851" xr:uid="{00000000-0005-0000-0000-0000E55C0000}"/>
    <cellStyle name="Note 7 2 3" xfId="18531" xr:uid="{00000000-0005-0000-0000-0000E65C0000}"/>
    <cellStyle name="Note 7 2 3 2" xfId="18532" xr:uid="{00000000-0005-0000-0000-0000E75C0000}"/>
    <cellStyle name="Note 7 2 3 2 2" xfId="18533" xr:uid="{00000000-0005-0000-0000-0000E85C0000}"/>
    <cellStyle name="Note 7 2 3 2 3" xfId="23083" xr:uid="{00000000-0005-0000-0000-0000E95C0000}"/>
    <cellStyle name="Note 7 2 3 3" xfId="18534" xr:uid="{00000000-0005-0000-0000-0000EA5C0000}"/>
    <cellStyle name="Note 7 2 3 4" xfId="20500" xr:uid="{00000000-0005-0000-0000-0000EB5C0000}"/>
    <cellStyle name="Note 7 2 4" xfId="18535" xr:uid="{00000000-0005-0000-0000-0000EC5C0000}"/>
    <cellStyle name="Note 7 2 4 2" xfId="18536" xr:uid="{00000000-0005-0000-0000-0000ED5C0000}"/>
    <cellStyle name="Note 7 2 4 3" xfId="21793" xr:uid="{00000000-0005-0000-0000-0000EE5C0000}"/>
    <cellStyle name="Note 7 2 5" xfId="18537" xr:uid="{00000000-0005-0000-0000-0000EF5C0000}"/>
    <cellStyle name="Note 7 2 6" xfId="19203" xr:uid="{00000000-0005-0000-0000-0000F05C0000}"/>
    <cellStyle name="Note 7 3" xfId="18538" xr:uid="{00000000-0005-0000-0000-0000F15C0000}"/>
    <cellStyle name="Note 7 3 2" xfId="18539" xr:uid="{00000000-0005-0000-0000-0000F25C0000}"/>
    <cellStyle name="Note 7 3 2 2" xfId="18540" xr:uid="{00000000-0005-0000-0000-0000F35C0000}"/>
    <cellStyle name="Note 7 3 2 2 2" xfId="18541" xr:uid="{00000000-0005-0000-0000-0000F45C0000}"/>
    <cellStyle name="Note 7 3 2 2 3" xfId="23406" xr:uid="{00000000-0005-0000-0000-0000F55C0000}"/>
    <cellStyle name="Note 7 3 2 3" xfId="18542" xr:uid="{00000000-0005-0000-0000-0000F65C0000}"/>
    <cellStyle name="Note 7 3 2 4" xfId="20823" xr:uid="{00000000-0005-0000-0000-0000F75C0000}"/>
    <cellStyle name="Note 7 3 3" xfId="18543" xr:uid="{00000000-0005-0000-0000-0000F85C0000}"/>
    <cellStyle name="Note 7 3 3 2" xfId="18544" xr:uid="{00000000-0005-0000-0000-0000F95C0000}"/>
    <cellStyle name="Note 7 3 3 3" xfId="22116" xr:uid="{00000000-0005-0000-0000-0000FA5C0000}"/>
    <cellStyle name="Note 7 3 4" xfId="18545" xr:uid="{00000000-0005-0000-0000-0000FB5C0000}"/>
    <cellStyle name="Note 7 3 5" xfId="19529" xr:uid="{00000000-0005-0000-0000-0000FC5C0000}"/>
    <cellStyle name="Note 7 4" xfId="18546" xr:uid="{00000000-0005-0000-0000-0000FD5C0000}"/>
    <cellStyle name="Note 7 4 2" xfId="18547" xr:uid="{00000000-0005-0000-0000-0000FE5C0000}"/>
    <cellStyle name="Note 7 4 2 2" xfId="18548" xr:uid="{00000000-0005-0000-0000-0000FF5C0000}"/>
    <cellStyle name="Note 7 4 2 3" xfId="22761" xr:uid="{00000000-0005-0000-0000-0000005D0000}"/>
    <cellStyle name="Note 7 4 3" xfId="18549" xr:uid="{00000000-0005-0000-0000-0000015D0000}"/>
    <cellStyle name="Note 7 4 4" xfId="20178" xr:uid="{00000000-0005-0000-0000-0000025D0000}"/>
    <cellStyle name="Note 7 5" xfId="18550" xr:uid="{00000000-0005-0000-0000-0000035D0000}"/>
    <cellStyle name="Note 7 5 2" xfId="18551" xr:uid="{00000000-0005-0000-0000-0000045D0000}"/>
    <cellStyle name="Note 7 5 3" xfId="21471" xr:uid="{00000000-0005-0000-0000-0000055D0000}"/>
    <cellStyle name="Note 7 6" xfId="18552" xr:uid="{00000000-0005-0000-0000-0000065D0000}"/>
    <cellStyle name="Note 7 7" xfId="18873" xr:uid="{00000000-0005-0000-0000-0000075D0000}"/>
    <cellStyle name="Note 8" xfId="18553" xr:uid="{00000000-0005-0000-0000-0000085D0000}"/>
    <cellStyle name="Note 8 2" xfId="18554" xr:uid="{00000000-0005-0000-0000-0000095D0000}"/>
    <cellStyle name="Note 8 2 2" xfId="18555" xr:uid="{00000000-0005-0000-0000-00000A5D0000}"/>
    <cellStyle name="Note 8 2 2 2" xfId="18556" xr:uid="{00000000-0005-0000-0000-00000B5D0000}"/>
    <cellStyle name="Note 8 2 2 2 2" xfId="18557" xr:uid="{00000000-0005-0000-0000-00000C5D0000}"/>
    <cellStyle name="Note 8 2 2 2 3" xfId="23567" xr:uid="{00000000-0005-0000-0000-00000D5D0000}"/>
    <cellStyle name="Note 8 2 2 3" xfId="18558" xr:uid="{00000000-0005-0000-0000-00000E5D0000}"/>
    <cellStyle name="Note 8 2 2 4" xfId="20984" xr:uid="{00000000-0005-0000-0000-00000F5D0000}"/>
    <cellStyle name="Note 8 2 3" xfId="18559" xr:uid="{00000000-0005-0000-0000-0000105D0000}"/>
    <cellStyle name="Note 8 2 3 2" xfId="18560" xr:uid="{00000000-0005-0000-0000-0000115D0000}"/>
    <cellStyle name="Note 8 2 3 3" xfId="22277" xr:uid="{00000000-0005-0000-0000-0000125D0000}"/>
    <cellStyle name="Note 8 2 4" xfId="18561" xr:uid="{00000000-0005-0000-0000-0000135D0000}"/>
    <cellStyle name="Note 8 2 5" xfId="19690" xr:uid="{00000000-0005-0000-0000-0000145D0000}"/>
    <cellStyle name="Note 8 3" xfId="18562" xr:uid="{00000000-0005-0000-0000-0000155D0000}"/>
    <cellStyle name="Note 8 3 2" xfId="18563" xr:uid="{00000000-0005-0000-0000-0000165D0000}"/>
    <cellStyle name="Note 8 3 2 2" xfId="18564" xr:uid="{00000000-0005-0000-0000-0000175D0000}"/>
    <cellStyle name="Note 8 3 2 3" xfId="22922" xr:uid="{00000000-0005-0000-0000-0000185D0000}"/>
    <cellStyle name="Note 8 3 3" xfId="18565" xr:uid="{00000000-0005-0000-0000-0000195D0000}"/>
    <cellStyle name="Note 8 3 4" xfId="20339" xr:uid="{00000000-0005-0000-0000-00001A5D0000}"/>
    <cellStyle name="Note 8 4" xfId="18566" xr:uid="{00000000-0005-0000-0000-00001B5D0000}"/>
    <cellStyle name="Note 8 4 2" xfId="18567" xr:uid="{00000000-0005-0000-0000-00001C5D0000}"/>
    <cellStyle name="Note 8 4 3" xfId="21632" xr:uid="{00000000-0005-0000-0000-00001D5D0000}"/>
    <cellStyle name="Note 8 5" xfId="18568" xr:uid="{00000000-0005-0000-0000-00001E5D0000}"/>
    <cellStyle name="Note 8 6" xfId="19038" xr:uid="{00000000-0005-0000-0000-00001F5D0000}"/>
    <cellStyle name="Note 9" xfId="18569" xr:uid="{00000000-0005-0000-0000-0000205D0000}"/>
    <cellStyle name="Note 9 2" xfId="18570" xr:uid="{00000000-0005-0000-0000-0000215D0000}"/>
    <cellStyle name="Note 9 2 2" xfId="18571" xr:uid="{00000000-0005-0000-0000-0000225D0000}"/>
    <cellStyle name="Note 9 2 2 2" xfId="18572" xr:uid="{00000000-0005-0000-0000-0000235D0000}"/>
    <cellStyle name="Note 9 2 2 3" xfId="23244" xr:uid="{00000000-0005-0000-0000-0000245D0000}"/>
    <cellStyle name="Note 9 2 3" xfId="18573" xr:uid="{00000000-0005-0000-0000-0000255D0000}"/>
    <cellStyle name="Note 9 2 4" xfId="20661" xr:uid="{00000000-0005-0000-0000-0000265D0000}"/>
    <cellStyle name="Note 9 3" xfId="18574" xr:uid="{00000000-0005-0000-0000-0000275D0000}"/>
    <cellStyle name="Note 9 3 2" xfId="18575" xr:uid="{00000000-0005-0000-0000-0000285D0000}"/>
    <cellStyle name="Note 9 3 3" xfId="21954" xr:uid="{00000000-0005-0000-0000-0000295D0000}"/>
    <cellStyle name="Note 9 4" xfId="18576" xr:uid="{00000000-0005-0000-0000-00002A5D0000}"/>
    <cellStyle name="Note 9 5" xfId="19364" xr:uid="{00000000-0005-0000-0000-00002B5D0000}"/>
    <cellStyle name="Output 2" xfId="18577" xr:uid="{00000000-0005-0000-0000-00002C5D0000}"/>
    <cellStyle name="Output 2 2" xfId="18668" xr:uid="{00000000-0005-0000-0000-00002D5D0000}"/>
    <cellStyle name="Output 3" xfId="18603" xr:uid="{00000000-0005-0000-0000-00002E5D0000}"/>
    <cellStyle name="Percent 2" xfId="5" xr:uid="{00000000-0005-0000-0000-00002F5D0000}"/>
    <cellStyle name="Title 2" xfId="18578" xr:uid="{00000000-0005-0000-0000-0000305D0000}"/>
    <cellStyle name="Title 2 2" xfId="18669" xr:uid="{00000000-0005-0000-0000-0000315D0000}"/>
    <cellStyle name="Title 3" xfId="18594" xr:uid="{00000000-0005-0000-0000-0000325D0000}"/>
    <cellStyle name="Total 10" xfId="18579" xr:uid="{00000000-0005-0000-0000-0000335D0000}"/>
    <cellStyle name="Total 10 2" xfId="19051" xr:uid="{00000000-0005-0000-0000-0000345D0000}"/>
    <cellStyle name="Total 11" xfId="18580" xr:uid="{00000000-0005-0000-0000-0000355D0000}"/>
    <cellStyle name="Total 11 2" xfId="19377" xr:uid="{00000000-0005-0000-0000-0000365D0000}"/>
    <cellStyle name="Total 12" xfId="18581" xr:uid="{00000000-0005-0000-0000-0000375D0000}"/>
    <cellStyle name="Total 12 2" xfId="20025" xr:uid="{00000000-0005-0000-0000-0000385D0000}"/>
    <cellStyle name="Total 13" xfId="18582" xr:uid="{00000000-0005-0000-0000-0000395D0000}"/>
    <cellStyle name="Total 13 2" xfId="21318" xr:uid="{00000000-0005-0000-0000-00003A5D0000}"/>
    <cellStyle name="Total 14" xfId="18583" xr:uid="{00000000-0005-0000-0000-00003B5D0000}"/>
    <cellStyle name="Total 15" xfId="18610" xr:uid="{00000000-0005-0000-0000-00003C5D0000}"/>
    <cellStyle name="Total 2" xfId="18584" xr:uid="{00000000-0005-0000-0000-00003D5D0000}"/>
    <cellStyle name="Total 2 2" xfId="18689" xr:uid="{00000000-0005-0000-0000-00003E5D0000}"/>
    <cellStyle name="Total 2 3" xfId="18670" xr:uid="{00000000-0005-0000-0000-00003F5D0000}"/>
    <cellStyle name="Total 3" xfId="18585" xr:uid="{00000000-0005-0000-0000-0000405D0000}"/>
    <cellStyle name="Total 3 2" xfId="18698" xr:uid="{00000000-0005-0000-0000-0000415D0000}"/>
    <cellStyle name="Total 4" xfId="18586" xr:uid="{00000000-0005-0000-0000-0000425D0000}"/>
    <cellStyle name="Total 4 2" xfId="18694" xr:uid="{00000000-0005-0000-0000-0000435D0000}"/>
    <cellStyle name="Total 5" xfId="18587" xr:uid="{00000000-0005-0000-0000-0000445D0000}"/>
    <cellStyle name="Total 5 2" xfId="18706" xr:uid="{00000000-0005-0000-0000-0000455D0000}"/>
    <cellStyle name="Total 6" xfId="18588" xr:uid="{00000000-0005-0000-0000-0000465D0000}"/>
    <cellStyle name="Total 6 2" xfId="18720" xr:uid="{00000000-0005-0000-0000-0000475D0000}"/>
    <cellStyle name="Total 7" xfId="18589" xr:uid="{00000000-0005-0000-0000-0000485D0000}"/>
    <cellStyle name="Total 7 2" xfId="18744" xr:uid="{00000000-0005-0000-0000-0000495D0000}"/>
    <cellStyle name="Total 8" xfId="18590" xr:uid="{00000000-0005-0000-0000-00004A5D0000}"/>
    <cellStyle name="Total 8 2" xfId="18684" xr:uid="{00000000-0005-0000-0000-00004B5D0000}"/>
    <cellStyle name="Total 9" xfId="18591" xr:uid="{00000000-0005-0000-0000-00004C5D0000}"/>
    <cellStyle name="Total 9 2" xfId="18886" xr:uid="{00000000-0005-0000-0000-00004D5D0000}"/>
    <cellStyle name="Warning Text 2" xfId="18592" xr:uid="{00000000-0005-0000-0000-00004E5D0000}"/>
    <cellStyle name="Warning Text 2 2" xfId="18671" xr:uid="{00000000-0005-0000-0000-00004F5D0000}"/>
    <cellStyle name="Warning Text 3" xfId="18607" xr:uid="{00000000-0005-0000-0000-0000505D0000}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3"/>
  <sheetViews>
    <sheetView rightToLeft="1" tabSelected="1" zoomScale="70" zoomScaleNormal="70" workbookViewId="0">
      <selection activeCell="C3" sqref="C3:C5"/>
    </sheetView>
  </sheetViews>
  <sheetFormatPr defaultRowHeight="30" customHeight="1"/>
  <cols>
    <col min="1" max="1" width="9.140625" style="52"/>
    <col min="2" max="2" width="120.28515625" style="52" customWidth="1"/>
    <col min="3" max="3" width="16.85546875" style="52" customWidth="1"/>
    <col min="4" max="4" width="125.140625" style="52" customWidth="1"/>
    <col min="5" max="256" width="9.140625" style="52"/>
    <col min="257" max="257" width="9.140625" style="52" customWidth="1"/>
    <col min="258" max="258" width="102.42578125" style="52" customWidth="1"/>
    <col min="259" max="259" width="4.85546875" style="52" customWidth="1"/>
    <col min="260" max="260" width="18.7109375" style="52" bestFit="1" customWidth="1"/>
    <col min="261" max="512" width="9.140625" style="52"/>
    <col min="513" max="513" width="9.140625" style="52" customWidth="1"/>
    <col min="514" max="514" width="102.42578125" style="52" customWidth="1"/>
    <col min="515" max="515" width="4.85546875" style="52" customWidth="1"/>
    <col min="516" max="516" width="18.7109375" style="52" bestFit="1" customWidth="1"/>
    <col min="517" max="768" width="9.140625" style="52"/>
    <col min="769" max="769" width="9.140625" style="52" customWidth="1"/>
    <col min="770" max="770" width="102.42578125" style="52" customWidth="1"/>
    <col min="771" max="771" width="4.85546875" style="52" customWidth="1"/>
    <col min="772" max="772" width="18.7109375" style="52" bestFit="1" customWidth="1"/>
    <col min="773" max="1024" width="9.140625" style="52"/>
    <col min="1025" max="1025" width="9.140625" style="52" customWidth="1"/>
    <col min="1026" max="1026" width="102.42578125" style="52" customWidth="1"/>
    <col min="1027" max="1027" width="4.85546875" style="52" customWidth="1"/>
    <col min="1028" max="1028" width="18.7109375" style="52" bestFit="1" customWidth="1"/>
    <col min="1029" max="1280" width="9.140625" style="52"/>
    <col min="1281" max="1281" width="9.140625" style="52" customWidth="1"/>
    <col min="1282" max="1282" width="102.42578125" style="52" customWidth="1"/>
    <col min="1283" max="1283" width="4.85546875" style="52" customWidth="1"/>
    <col min="1284" max="1284" width="18.7109375" style="52" bestFit="1" customWidth="1"/>
    <col min="1285" max="1536" width="9.140625" style="52"/>
    <col min="1537" max="1537" width="9.140625" style="52" customWidth="1"/>
    <col min="1538" max="1538" width="102.42578125" style="52" customWidth="1"/>
    <col min="1539" max="1539" width="4.85546875" style="52" customWidth="1"/>
    <col min="1540" max="1540" width="18.7109375" style="52" bestFit="1" customWidth="1"/>
    <col min="1541" max="1792" width="9.140625" style="52"/>
    <col min="1793" max="1793" width="9.140625" style="52" customWidth="1"/>
    <col min="1794" max="1794" width="102.42578125" style="52" customWidth="1"/>
    <col min="1795" max="1795" width="4.85546875" style="52" customWidth="1"/>
    <col min="1796" max="1796" width="18.7109375" style="52" bestFit="1" customWidth="1"/>
    <col min="1797" max="2048" width="9.140625" style="52"/>
    <col min="2049" max="2049" width="9.140625" style="52" customWidth="1"/>
    <col min="2050" max="2050" width="102.42578125" style="52" customWidth="1"/>
    <col min="2051" max="2051" width="4.85546875" style="52" customWidth="1"/>
    <col min="2052" max="2052" width="18.7109375" style="52" bestFit="1" customWidth="1"/>
    <col min="2053" max="2304" width="9.140625" style="52"/>
    <col min="2305" max="2305" width="9.140625" style="52" customWidth="1"/>
    <col min="2306" max="2306" width="102.42578125" style="52" customWidth="1"/>
    <col min="2307" max="2307" width="4.85546875" style="52" customWidth="1"/>
    <col min="2308" max="2308" width="18.7109375" style="52" bestFit="1" customWidth="1"/>
    <col min="2309" max="2560" width="9.140625" style="52"/>
    <col min="2561" max="2561" width="9.140625" style="52" customWidth="1"/>
    <col min="2562" max="2562" width="102.42578125" style="52" customWidth="1"/>
    <col min="2563" max="2563" width="4.85546875" style="52" customWidth="1"/>
    <col min="2564" max="2564" width="18.7109375" style="52" bestFit="1" customWidth="1"/>
    <col min="2565" max="2816" width="9.140625" style="52"/>
    <col min="2817" max="2817" width="9.140625" style="52" customWidth="1"/>
    <col min="2818" max="2818" width="102.42578125" style="52" customWidth="1"/>
    <col min="2819" max="2819" width="4.85546875" style="52" customWidth="1"/>
    <col min="2820" max="2820" width="18.7109375" style="52" bestFit="1" customWidth="1"/>
    <col min="2821" max="3072" width="9.140625" style="52"/>
    <col min="3073" max="3073" width="9.140625" style="52" customWidth="1"/>
    <col min="3074" max="3074" width="102.42578125" style="52" customWidth="1"/>
    <col min="3075" max="3075" width="4.85546875" style="52" customWidth="1"/>
    <col min="3076" max="3076" width="18.7109375" style="52" bestFit="1" customWidth="1"/>
    <col min="3077" max="3328" width="9.140625" style="52"/>
    <col min="3329" max="3329" width="9.140625" style="52" customWidth="1"/>
    <col min="3330" max="3330" width="102.42578125" style="52" customWidth="1"/>
    <col min="3331" max="3331" width="4.85546875" style="52" customWidth="1"/>
    <col min="3332" max="3332" width="18.7109375" style="52" bestFit="1" customWidth="1"/>
    <col min="3333" max="3584" width="9.140625" style="52"/>
    <col min="3585" max="3585" width="9.140625" style="52" customWidth="1"/>
    <col min="3586" max="3586" width="102.42578125" style="52" customWidth="1"/>
    <col min="3587" max="3587" width="4.85546875" style="52" customWidth="1"/>
    <col min="3588" max="3588" width="18.7109375" style="52" bestFit="1" customWidth="1"/>
    <col min="3589" max="3840" width="9.140625" style="52"/>
    <col min="3841" max="3841" width="9.140625" style="52" customWidth="1"/>
    <col min="3842" max="3842" width="102.42578125" style="52" customWidth="1"/>
    <col min="3843" max="3843" width="4.85546875" style="52" customWidth="1"/>
    <col min="3844" max="3844" width="18.7109375" style="52" bestFit="1" customWidth="1"/>
    <col min="3845" max="4096" width="9.140625" style="52"/>
    <col min="4097" max="4097" width="9.140625" style="52" customWidth="1"/>
    <col min="4098" max="4098" width="102.42578125" style="52" customWidth="1"/>
    <col min="4099" max="4099" width="4.85546875" style="52" customWidth="1"/>
    <col min="4100" max="4100" width="18.7109375" style="52" bestFit="1" customWidth="1"/>
    <col min="4101" max="4352" width="9.140625" style="52"/>
    <col min="4353" max="4353" width="9.140625" style="52" customWidth="1"/>
    <col min="4354" max="4354" width="102.42578125" style="52" customWidth="1"/>
    <col min="4355" max="4355" width="4.85546875" style="52" customWidth="1"/>
    <col min="4356" max="4356" width="18.7109375" style="52" bestFit="1" customWidth="1"/>
    <col min="4357" max="4608" width="9.140625" style="52"/>
    <col min="4609" max="4609" width="9.140625" style="52" customWidth="1"/>
    <col min="4610" max="4610" width="102.42578125" style="52" customWidth="1"/>
    <col min="4611" max="4611" width="4.85546875" style="52" customWidth="1"/>
    <col min="4612" max="4612" width="18.7109375" style="52" bestFit="1" customWidth="1"/>
    <col min="4613" max="4864" width="9.140625" style="52"/>
    <col min="4865" max="4865" width="9.140625" style="52" customWidth="1"/>
    <col min="4866" max="4866" width="102.42578125" style="52" customWidth="1"/>
    <col min="4867" max="4867" width="4.85546875" style="52" customWidth="1"/>
    <col min="4868" max="4868" width="18.7109375" style="52" bestFit="1" customWidth="1"/>
    <col min="4869" max="5120" width="9.140625" style="52"/>
    <col min="5121" max="5121" width="9.140625" style="52" customWidth="1"/>
    <col min="5122" max="5122" width="102.42578125" style="52" customWidth="1"/>
    <col min="5123" max="5123" width="4.85546875" style="52" customWidth="1"/>
    <col min="5124" max="5124" width="18.7109375" style="52" bestFit="1" customWidth="1"/>
    <col min="5125" max="5376" width="9.140625" style="52"/>
    <col min="5377" max="5377" width="9.140625" style="52" customWidth="1"/>
    <col min="5378" max="5378" width="102.42578125" style="52" customWidth="1"/>
    <col min="5379" max="5379" width="4.85546875" style="52" customWidth="1"/>
    <col min="5380" max="5380" width="18.7109375" style="52" bestFit="1" customWidth="1"/>
    <col min="5381" max="5632" width="9.140625" style="52"/>
    <col min="5633" max="5633" width="9.140625" style="52" customWidth="1"/>
    <col min="5634" max="5634" width="102.42578125" style="52" customWidth="1"/>
    <col min="5635" max="5635" width="4.85546875" style="52" customWidth="1"/>
    <col min="5636" max="5636" width="18.7109375" style="52" bestFit="1" customWidth="1"/>
    <col min="5637" max="5888" width="9.140625" style="52"/>
    <col min="5889" max="5889" width="9.140625" style="52" customWidth="1"/>
    <col min="5890" max="5890" width="102.42578125" style="52" customWidth="1"/>
    <col min="5891" max="5891" width="4.85546875" style="52" customWidth="1"/>
    <col min="5892" max="5892" width="18.7109375" style="52" bestFit="1" customWidth="1"/>
    <col min="5893" max="6144" width="9.140625" style="52"/>
    <col min="6145" max="6145" width="9.140625" style="52" customWidth="1"/>
    <col min="6146" max="6146" width="102.42578125" style="52" customWidth="1"/>
    <col min="6147" max="6147" width="4.85546875" style="52" customWidth="1"/>
    <col min="6148" max="6148" width="18.7109375" style="52" bestFit="1" customWidth="1"/>
    <col min="6149" max="6400" width="9.140625" style="52"/>
    <col min="6401" max="6401" width="9.140625" style="52" customWidth="1"/>
    <col min="6402" max="6402" width="102.42578125" style="52" customWidth="1"/>
    <col min="6403" max="6403" width="4.85546875" style="52" customWidth="1"/>
    <col min="6404" max="6404" width="18.7109375" style="52" bestFit="1" customWidth="1"/>
    <col min="6405" max="6656" width="9.140625" style="52"/>
    <col min="6657" max="6657" width="9.140625" style="52" customWidth="1"/>
    <col min="6658" max="6658" width="102.42578125" style="52" customWidth="1"/>
    <col min="6659" max="6659" width="4.85546875" style="52" customWidth="1"/>
    <col min="6660" max="6660" width="18.7109375" style="52" bestFit="1" customWidth="1"/>
    <col min="6661" max="6912" width="9.140625" style="52"/>
    <col min="6913" max="6913" width="9.140625" style="52" customWidth="1"/>
    <col min="6914" max="6914" width="102.42578125" style="52" customWidth="1"/>
    <col min="6915" max="6915" width="4.85546875" style="52" customWidth="1"/>
    <col min="6916" max="6916" width="18.7109375" style="52" bestFit="1" customWidth="1"/>
    <col min="6917" max="7168" width="9.140625" style="52"/>
    <col min="7169" max="7169" width="9.140625" style="52" customWidth="1"/>
    <col min="7170" max="7170" width="102.42578125" style="52" customWidth="1"/>
    <col min="7171" max="7171" width="4.85546875" style="52" customWidth="1"/>
    <col min="7172" max="7172" width="18.7109375" style="52" bestFit="1" customWidth="1"/>
    <col min="7173" max="7424" width="9.140625" style="52"/>
    <col min="7425" max="7425" width="9.140625" style="52" customWidth="1"/>
    <col min="7426" max="7426" width="102.42578125" style="52" customWidth="1"/>
    <col min="7427" max="7427" width="4.85546875" style="52" customWidth="1"/>
    <col min="7428" max="7428" width="18.7109375" style="52" bestFit="1" customWidth="1"/>
    <col min="7429" max="7680" width="9.140625" style="52"/>
    <col min="7681" max="7681" width="9.140625" style="52" customWidth="1"/>
    <col min="7682" max="7682" width="102.42578125" style="52" customWidth="1"/>
    <col min="7683" max="7683" width="4.85546875" style="52" customWidth="1"/>
    <col min="7684" max="7684" width="18.7109375" style="52" bestFit="1" customWidth="1"/>
    <col min="7685" max="7936" width="9.140625" style="52"/>
    <col min="7937" max="7937" width="9.140625" style="52" customWidth="1"/>
    <col min="7938" max="7938" width="102.42578125" style="52" customWidth="1"/>
    <col min="7939" max="7939" width="4.85546875" style="52" customWidth="1"/>
    <col min="7940" max="7940" width="18.7109375" style="52" bestFit="1" customWidth="1"/>
    <col min="7941" max="8192" width="9.140625" style="52"/>
    <col min="8193" max="8193" width="9.140625" style="52" customWidth="1"/>
    <col min="8194" max="8194" width="102.42578125" style="52" customWidth="1"/>
    <col min="8195" max="8195" width="4.85546875" style="52" customWidth="1"/>
    <col min="8196" max="8196" width="18.7109375" style="52" bestFit="1" customWidth="1"/>
    <col min="8197" max="8448" width="9.140625" style="52"/>
    <col min="8449" max="8449" width="9.140625" style="52" customWidth="1"/>
    <col min="8450" max="8450" width="102.42578125" style="52" customWidth="1"/>
    <col min="8451" max="8451" width="4.85546875" style="52" customWidth="1"/>
    <col min="8452" max="8452" width="18.7109375" style="52" bestFit="1" customWidth="1"/>
    <col min="8453" max="8704" width="9.140625" style="52"/>
    <col min="8705" max="8705" width="9.140625" style="52" customWidth="1"/>
    <col min="8706" max="8706" width="102.42578125" style="52" customWidth="1"/>
    <col min="8707" max="8707" width="4.85546875" style="52" customWidth="1"/>
    <col min="8708" max="8708" width="18.7109375" style="52" bestFit="1" customWidth="1"/>
    <col min="8709" max="8960" width="9.140625" style="52"/>
    <col min="8961" max="8961" width="9.140625" style="52" customWidth="1"/>
    <col min="8962" max="8962" width="102.42578125" style="52" customWidth="1"/>
    <col min="8963" max="8963" width="4.85546875" style="52" customWidth="1"/>
    <col min="8964" max="8964" width="18.7109375" style="52" bestFit="1" customWidth="1"/>
    <col min="8965" max="9216" width="9.140625" style="52"/>
    <col min="9217" max="9217" width="9.140625" style="52" customWidth="1"/>
    <col min="9218" max="9218" width="102.42578125" style="52" customWidth="1"/>
    <col min="9219" max="9219" width="4.85546875" style="52" customWidth="1"/>
    <col min="9220" max="9220" width="18.7109375" style="52" bestFit="1" customWidth="1"/>
    <col min="9221" max="9472" width="9.140625" style="52"/>
    <col min="9473" max="9473" width="9.140625" style="52" customWidth="1"/>
    <col min="9474" max="9474" width="102.42578125" style="52" customWidth="1"/>
    <col min="9475" max="9475" width="4.85546875" style="52" customWidth="1"/>
    <col min="9476" max="9476" width="18.7109375" style="52" bestFit="1" customWidth="1"/>
    <col min="9477" max="9728" width="9.140625" style="52"/>
    <col min="9729" max="9729" width="9.140625" style="52" customWidth="1"/>
    <col min="9730" max="9730" width="102.42578125" style="52" customWidth="1"/>
    <col min="9731" max="9731" width="4.85546875" style="52" customWidth="1"/>
    <col min="9732" max="9732" width="18.7109375" style="52" bestFit="1" customWidth="1"/>
    <col min="9733" max="9984" width="9.140625" style="52"/>
    <col min="9985" max="9985" width="9.140625" style="52" customWidth="1"/>
    <col min="9986" max="9986" width="102.42578125" style="52" customWidth="1"/>
    <col min="9987" max="9987" width="4.85546875" style="52" customWidth="1"/>
    <col min="9988" max="9988" width="18.7109375" style="52" bestFit="1" customWidth="1"/>
    <col min="9989" max="10240" width="9.140625" style="52"/>
    <col min="10241" max="10241" width="9.140625" style="52" customWidth="1"/>
    <col min="10242" max="10242" width="102.42578125" style="52" customWidth="1"/>
    <col min="10243" max="10243" width="4.85546875" style="52" customWidth="1"/>
    <col min="10244" max="10244" width="18.7109375" style="52" bestFit="1" customWidth="1"/>
    <col min="10245" max="10496" width="9.140625" style="52"/>
    <col min="10497" max="10497" width="9.140625" style="52" customWidth="1"/>
    <col min="10498" max="10498" width="102.42578125" style="52" customWidth="1"/>
    <col min="10499" max="10499" width="4.85546875" style="52" customWidth="1"/>
    <col min="10500" max="10500" width="18.7109375" style="52" bestFit="1" customWidth="1"/>
    <col min="10501" max="10752" width="9.140625" style="52"/>
    <col min="10753" max="10753" width="9.140625" style="52" customWidth="1"/>
    <col min="10754" max="10754" width="102.42578125" style="52" customWidth="1"/>
    <col min="10755" max="10755" width="4.85546875" style="52" customWidth="1"/>
    <col min="10756" max="10756" width="18.7109375" style="52" bestFit="1" customWidth="1"/>
    <col min="10757" max="11008" width="9.140625" style="52"/>
    <col min="11009" max="11009" width="9.140625" style="52" customWidth="1"/>
    <col min="11010" max="11010" width="102.42578125" style="52" customWidth="1"/>
    <col min="11011" max="11011" width="4.85546875" style="52" customWidth="1"/>
    <col min="11012" max="11012" width="18.7109375" style="52" bestFit="1" customWidth="1"/>
    <col min="11013" max="11264" width="9.140625" style="52"/>
    <col min="11265" max="11265" width="9.140625" style="52" customWidth="1"/>
    <col min="11266" max="11266" width="102.42578125" style="52" customWidth="1"/>
    <col min="11267" max="11267" width="4.85546875" style="52" customWidth="1"/>
    <col min="11268" max="11268" width="18.7109375" style="52" bestFit="1" customWidth="1"/>
    <col min="11269" max="11520" width="9.140625" style="52"/>
    <col min="11521" max="11521" width="9.140625" style="52" customWidth="1"/>
    <col min="11522" max="11522" width="102.42578125" style="52" customWidth="1"/>
    <col min="11523" max="11523" width="4.85546875" style="52" customWidth="1"/>
    <col min="11524" max="11524" width="18.7109375" style="52" bestFit="1" customWidth="1"/>
    <col min="11525" max="11776" width="9.140625" style="52"/>
    <col min="11777" max="11777" width="9.140625" style="52" customWidth="1"/>
    <col min="11778" max="11778" width="102.42578125" style="52" customWidth="1"/>
    <col min="11779" max="11779" width="4.85546875" style="52" customWidth="1"/>
    <col min="11780" max="11780" width="18.7109375" style="52" bestFit="1" customWidth="1"/>
    <col min="11781" max="12032" width="9.140625" style="52"/>
    <col min="12033" max="12033" width="9.140625" style="52" customWidth="1"/>
    <col min="12034" max="12034" width="102.42578125" style="52" customWidth="1"/>
    <col min="12035" max="12035" width="4.85546875" style="52" customWidth="1"/>
    <col min="12036" max="12036" width="18.7109375" style="52" bestFit="1" customWidth="1"/>
    <col min="12037" max="12288" width="9.140625" style="52"/>
    <col min="12289" max="12289" width="9.140625" style="52" customWidth="1"/>
    <col min="12290" max="12290" width="102.42578125" style="52" customWidth="1"/>
    <col min="12291" max="12291" width="4.85546875" style="52" customWidth="1"/>
    <col min="12292" max="12292" width="18.7109375" style="52" bestFit="1" customWidth="1"/>
    <col min="12293" max="12544" width="9.140625" style="52"/>
    <col min="12545" max="12545" width="9.140625" style="52" customWidth="1"/>
    <col min="12546" max="12546" width="102.42578125" style="52" customWidth="1"/>
    <col min="12547" max="12547" width="4.85546875" style="52" customWidth="1"/>
    <col min="12548" max="12548" width="18.7109375" style="52" bestFit="1" customWidth="1"/>
    <col min="12549" max="12800" width="9.140625" style="52"/>
    <col min="12801" max="12801" width="9.140625" style="52" customWidth="1"/>
    <col min="12802" max="12802" width="102.42578125" style="52" customWidth="1"/>
    <col min="12803" max="12803" width="4.85546875" style="52" customWidth="1"/>
    <col min="12804" max="12804" width="18.7109375" style="52" bestFit="1" customWidth="1"/>
    <col min="12805" max="13056" width="9.140625" style="52"/>
    <col min="13057" max="13057" width="9.140625" style="52" customWidth="1"/>
    <col min="13058" max="13058" width="102.42578125" style="52" customWidth="1"/>
    <col min="13059" max="13059" width="4.85546875" style="52" customWidth="1"/>
    <col min="13060" max="13060" width="18.7109375" style="52" bestFit="1" customWidth="1"/>
    <col min="13061" max="13312" width="9.140625" style="52"/>
    <col min="13313" max="13313" width="9.140625" style="52" customWidth="1"/>
    <col min="13314" max="13314" width="102.42578125" style="52" customWidth="1"/>
    <col min="13315" max="13315" width="4.85546875" style="52" customWidth="1"/>
    <col min="13316" max="13316" width="18.7109375" style="52" bestFit="1" customWidth="1"/>
    <col min="13317" max="13568" width="9.140625" style="52"/>
    <col min="13569" max="13569" width="9.140625" style="52" customWidth="1"/>
    <col min="13570" max="13570" width="102.42578125" style="52" customWidth="1"/>
    <col min="13571" max="13571" width="4.85546875" style="52" customWidth="1"/>
    <col min="13572" max="13572" width="18.7109375" style="52" bestFit="1" customWidth="1"/>
    <col min="13573" max="13824" width="9.140625" style="52"/>
    <col min="13825" max="13825" width="9.140625" style="52" customWidth="1"/>
    <col min="13826" max="13826" width="102.42578125" style="52" customWidth="1"/>
    <col min="13827" max="13827" width="4.85546875" style="52" customWidth="1"/>
    <col min="13828" max="13828" width="18.7109375" style="52" bestFit="1" customWidth="1"/>
    <col min="13829" max="14080" width="9.140625" style="52"/>
    <col min="14081" max="14081" width="9.140625" style="52" customWidth="1"/>
    <col min="14082" max="14082" width="102.42578125" style="52" customWidth="1"/>
    <col min="14083" max="14083" width="4.85546875" style="52" customWidth="1"/>
    <col min="14084" max="14084" width="18.7109375" style="52" bestFit="1" customWidth="1"/>
    <col min="14085" max="14336" width="9.140625" style="52"/>
    <col min="14337" max="14337" width="9.140625" style="52" customWidth="1"/>
    <col min="14338" max="14338" width="102.42578125" style="52" customWidth="1"/>
    <col min="14339" max="14339" width="4.85546875" style="52" customWidth="1"/>
    <col min="14340" max="14340" width="18.7109375" style="52" bestFit="1" customWidth="1"/>
    <col min="14341" max="14592" width="9.140625" style="52"/>
    <col min="14593" max="14593" width="9.140625" style="52" customWidth="1"/>
    <col min="14594" max="14594" width="102.42578125" style="52" customWidth="1"/>
    <col min="14595" max="14595" width="4.85546875" style="52" customWidth="1"/>
    <col min="14596" max="14596" width="18.7109375" style="52" bestFit="1" customWidth="1"/>
    <col min="14597" max="14848" width="9.140625" style="52"/>
    <col min="14849" max="14849" width="9.140625" style="52" customWidth="1"/>
    <col min="14850" max="14850" width="102.42578125" style="52" customWidth="1"/>
    <col min="14851" max="14851" width="4.85546875" style="52" customWidth="1"/>
    <col min="14852" max="14852" width="18.7109375" style="52" bestFit="1" customWidth="1"/>
    <col min="14853" max="15104" width="9.140625" style="52"/>
    <col min="15105" max="15105" width="9.140625" style="52" customWidth="1"/>
    <col min="15106" max="15106" width="102.42578125" style="52" customWidth="1"/>
    <col min="15107" max="15107" width="4.85546875" style="52" customWidth="1"/>
    <col min="15108" max="15108" width="18.7109375" style="52" bestFit="1" customWidth="1"/>
    <col min="15109" max="15360" width="9.140625" style="52"/>
    <col min="15361" max="15361" width="9.140625" style="52" customWidth="1"/>
    <col min="15362" max="15362" width="102.42578125" style="52" customWidth="1"/>
    <col min="15363" max="15363" width="4.85546875" style="52" customWidth="1"/>
    <col min="15364" max="15364" width="18.7109375" style="52" bestFit="1" customWidth="1"/>
    <col min="15365" max="15616" width="9.140625" style="52"/>
    <col min="15617" max="15617" width="9.140625" style="52" customWidth="1"/>
    <col min="15618" max="15618" width="102.42578125" style="52" customWidth="1"/>
    <col min="15619" max="15619" width="4.85546875" style="52" customWidth="1"/>
    <col min="15620" max="15620" width="18.7109375" style="52" bestFit="1" customWidth="1"/>
    <col min="15621" max="15872" width="9.140625" style="52"/>
    <col min="15873" max="15873" width="9.140625" style="52" customWidth="1"/>
    <col min="15874" max="15874" width="102.42578125" style="52" customWidth="1"/>
    <col min="15875" max="15875" width="4.85546875" style="52" customWidth="1"/>
    <col min="15876" max="15876" width="18.7109375" style="52" bestFit="1" customWidth="1"/>
    <col min="15877" max="16128" width="9.140625" style="52"/>
    <col min="16129" max="16129" width="9.140625" style="52" customWidth="1"/>
    <col min="16130" max="16130" width="102.42578125" style="52" customWidth="1"/>
    <col min="16131" max="16131" width="4.85546875" style="52" customWidth="1"/>
    <col min="16132" max="16132" width="18.7109375" style="52" bestFit="1" customWidth="1"/>
    <col min="16133" max="16384" width="9.140625" style="52"/>
  </cols>
  <sheetData>
    <row r="3" spans="2:4" ht="23.25">
      <c r="B3" s="155" t="s">
        <v>117</v>
      </c>
      <c r="C3" s="156" t="s">
        <v>118</v>
      </c>
      <c r="D3" s="158" t="s">
        <v>116</v>
      </c>
    </row>
    <row r="4" spans="2:4" ht="23.25">
      <c r="B4" s="155"/>
      <c r="C4" s="157"/>
      <c r="D4" s="158"/>
    </row>
    <row r="5" spans="2:4" ht="23.25">
      <c r="B5" s="155"/>
      <c r="C5" s="157"/>
      <c r="D5" s="158"/>
    </row>
    <row r="6" spans="2:4" ht="30" customHeight="1">
      <c r="B6" s="58"/>
      <c r="C6" s="57"/>
      <c r="D6" s="56"/>
    </row>
    <row r="7" spans="2:4" ht="30" customHeight="1">
      <c r="B7" s="55" t="s">
        <v>115</v>
      </c>
      <c r="C7" s="59" t="s">
        <v>149</v>
      </c>
      <c r="D7" s="54" t="s">
        <v>124</v>
      </c>
    </row>
    <row r="8" spans="2:4" ht="30" customHeight="1">
      <c r="B8" s="55" t="s">
        <v>115</v>
      </c>
      <c r="C8" s="59" t="s">
        <v>119</v>
      </c>
      <c r="D8" s="54" t="s">
        <v>125</v>
      </c>
    </row>
    <row r="9" spans="2:4" ht="30" customHeight="1">
      <c r="B9" s="53" t="s">
        <v>114</v>
      </c>
      <c r="C9" s="59" t="s">
        <v>120</v>
      </c>
      <c r="D9" s="53" t="s">
        <v>126</v>
      </c>
    </row>
    <row r="10" spans="2:4" ht="30" customHeight="1">
      <c r="B10" s="53" t="s">
        <v>114</v>
      </c>
      <c r="C10" s="59" t="s">
        <v>121</v>
      </c>
      <c r="D10" s="53" t="s">
        <v>126</v>
      </c>
    </row>
    <row r="11" spans="2:4" ht="30" customHeight="1">
      <c r="B11" s="55" t="s">
        <v>113</v>
      </c>
      <c r="C11" s="59">
        <v>61</v>
      </c>
      <c r="D11" s="54" t="s">
        <v>127</v>
      </c>
    </row>
    <row r="12" spans="2:4" ht="30" customHeight="1">
      <c r="B12" s="53" t="s">
        <v>112</v>
      </c>
      <c r="C12" s="59" t="s">
        <v>122</v>
      </c>
      <c r="D12" s="53" t="s">
        <v>128</v>
      </c>
    </row>
    <row r="13" spans="2:4" ht="30" customHeight="1">
      <c r="B13" s="53" t="s">
        <v>112</v>
      </c>
      <c r="C13" s="59" t="s">
        <v>123</v>
      </c>
      <c r="D13" s="53" t="s">
        <v>128</v>
      </c>
    </row>
  </sheetData>
  <mergeCells count="3">
    <mergeCell ref="B3:B5"/>
    <mergeCell ref="C3:C5"/>
    <mergeCell ref="D3:D5"/>
  </mergeCells>
  <hyperlinks>
    <hyperlink ref="C7" location="'59a'!A1" display="59a" xr:uid="{00000000-0004-0000-0000-000000000000}"/>
    <hyperlink ref="C8" location="'59b'!A1" display="59b" xr:uid="{00000000-0004-0000-0000-000001000000}"/>
    <hyperlink ref="C9" location="'60a'!A1" display="60a" xr:uid="{00000000-0004-0000-0000-000002000000}"/>
    <hyperlink ref="C10" location="'60b'!A1" display="60b" xr:uid="{00000000-0004-0000-0000-000003000000}"/>
    <hyperlink ref="C11" location="'61'!A1" display="'61'!A1" xr:uid="{00000000-0004-0000-0000-000004000000}"/>
    <hyperlink ref="C12" location="'62a'!A1" display="62a" xr:uid="{00000000-0004-0000-0000-000005000000}"/>
    <hyperlink ref="C13" location="'62b'!A1" display="62b" xr:uid="{00000000-0004-0000-0000-000006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758"/>
  <sheetViews>
    <sheetView rightToLeft="1" zoomScale="50" zoomScaleNormal="50" workbookViewId="0">
      <selection activeCell="E3" sqref="E3:M3"/>
    </sheetView>
  </sheetViews>
  <sheetFormatPr defaultColWidth="9.140625" defaultRowHeight="15.75"/>
  <cols>
    <col min="1" max="1" width="10.7109375" customWidth="1"/>
    <col min="2" max="16" width="22.7109375" style="1" customWidth="1"/>
    <col min="17" max="17" width="17.85546875" bestFit="1" customWidth="1"/>
  </cols>
  <sheetData>
    <row r="1" spans="2:16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2:16" ht="15.75" customHeight="1">
      <c r="B2"/>
      <c r="C2"/>
      <c r="D2"/>
      <c r="I2"/>
      <c r="J2"/>
      <c r="K2"/>
      <c r="L2"/>
      <c r="M2"/>
      <c r="N2"/>
      <c r="O2"/>
      <c r="P2"/>
    </row>
    <row r="3" spans="2:16" ht="40.15" customHeight="1">
      <c r="B3" s="162" t="s">
        <v>130</v>
      </c>
      <c r="C3" s="162"/>
      <c r="D3" s="162"/>
      <c r="E3" s="164" t="s">
        <v>99</v>
      </c>
      <c r="F3" s="164"/>
      <c r="G3" s="164"/>
      <c r="H3" s="164"/>
      <c r="I3" s="164"/>
      <c r="J3" s="164"/>
      <c r="K3" s="164"/>
      <c r="L3" s="164"/>
      <c r="M3" s="164"/>
      <c r="N3" s="163" t="s">
        <v>106</v>
      </c>
      <c r="O3" s="163"/>
      <c r="P3" s="163"/>
    </row>
    <row r="4" spans="2:16" ht="40.15" customHeight="1">
      <c r="B4" s="63"/>
      <c r="C4" s="63"/>
      <c r="D4" s="63"/>
      <c r="E4" s="65"/>
      <c r="F4" s="65"/>
      <c r="G4" s="65"/>
      <c r="H4" s="65"/>
      <c r="I4" s="70" t="s">
        <v>161</v>
      </c>
      <c r="J4" s="65"/>
      <c r="K4" s="65"/>
      <c r="L4" s="65"/>
      <c r="M4" s="65"/>
      <c r="N4" s="64"/>
      <c r="O4" s="64"/>
      <c r="P4" s="64"/>
    </row>
    <row r="5" spans="2:16" ht="40.15" customHeight="1">
      <c r="B5" s="21"/>
      <c r="C5" s="165" t="s">
        <v>162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49" t="s">
        <v>97</v>
      </c>
    </row>
    <row r="6" spans="2:16" ht="10.15" customHeight="1">
      <c r="B6" s="2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49"/>
    </row>
    <row r="7" spans="2:16" ht="36" customHeight="1">
      <c r="B7" s="166"/>
      <c r="C7" s="169" t="s">
        <v>72</v>
      </c>
      <c r="D7" s="169"/>
      <c r="E7" s="169"/>
      <c r="F7" s="169"/>
      <c r="G7" s="169"/>
      <c r="H7" s="169" t="s">
        <v>80</v>
      </c>
      <c r="I7" s="169"/>
      <c r="J7" s="169"/>
      <c r="K7" s="169"/>
      <c r="L7" s="169"/>
      <c r="M7" s="169"/>
      <c r="N7" s="169"/>
      <c r="O7" s="169"/>
      <c r="P7" s="170"/>
    </row>
    <row r="8" spans="2:16" ht="36" customHeight="1">
      <c r="B8" s="167"/>
      <c r="C8" s="171" t="s">
        <v>82</v>
      </c>
      <c r="D8" s="171"/>
      <c r="E8" s="171"/>
      <c r="F8" s="171"/>
      <c r="G8" s="172"/>
      <c r="H8" s="171" t="s">
        <v>81</v>
      </c>
      <c r="I8" s="171"/>
      <c r="J8" s="171"/>
      <c r="K8" s="171"/>
      <c r="L8" s="171"/>
      <c r="M8" s="171"/>
      <c r="N8" s="171"/>
      <c r="O8" s="171"/>
      <c r="P8" s="173"/>
    </row>
    <row r="9" spans="2:16" ht="120" customHeight="1">
      <c r="B9" s="168"/>
      <c r="C9" s="27" t="s">
        <v>26</v>
      </c>
      <c r="D9" s="27" t="s">
        <v>25</v>
      </c>
      <c r="E9" s="27" t="s">
        <v>24</v>
      </c>
      <c r="F9" s="27" t="s">
        <v>23</v>
      </c>
      <c r="G9" s="92" t="s">
        <v>22</v>
      </c>
      <c r="H9" s="27" t="s">
        <v>21</v>
      </c>
      <c r="I9" s="27" t="s">
        <v>20</v>
      </c>
      <c r="J9" s="27" t="s">
        <v>19</v>
      </c>
      <c r="K9" s="27" t="s">
        <v>18</v>
      </c>
      <c r="L9" s="27" t="s">
        <v>17</v>
      </c>
      <c r="M9" s="27" t="s">
        <v>16</v>
      </c>
      <c r="N9" s="27" t="s">
        <v>15</v>
      </c>
      <c r="O9" s="27" t="s">
        <v>14</v>
      </c>
      <c r="P9" s="134" t="s">
        <v>13</v>
      </c>
    </row>
    <row r="10" spans="2:16" ht="61.5" customHeight="1">
      <c r="B10" s="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50"/>
    </row>
    <row r="11" spans="2:16" ht="120" customHeight="1">
      <c r="B11" s="33"/>
      <c r="C11" s="80" t="s">
        <v>12</v>
      </c>
      <c r="D11" s="80" t="s">
        <v>11</v>
      </c>
      <c r="E11" s="80" t="s">
        <v>10</v>
      </c>
      <c r="F11" s="80" t="s">
        <v>9</v>
      </c>
      <c r="G11" s="80" t="s">
        <v>8</v>
      </c>
      <c r="H11" s="80" t="s">
        <v>109</v>
      </c>
      <c r="I11" s="80" t="s">
        <v>6</v>
      </c>
      <c r="J11" s="80" t="s">
        <v>5</v>
      </c>
      <c r="K11" s="80" t="s">
        <v>107</v>
      </c>
      <c r="L11" s="80" t="s">
        <v>108</v>
      </c>
      <c r="M11" s="80" t="s">
        <v>3</v>
      </c>
      <c r="N11" s="80" t="s">
        <v>2</v>
      </c>
      <c r="O11" s="80" t="s">
        <v>1</v>
      </c>
      <c r="P11" s="81" t="s">
        <v>0</v>
      </c>
    </row>
    <row r="12" spans="2:16" ht="40.15" customHeight="1">
      <c r="B12" s="26" t="s">
        <v>79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2:16" ht="34.9" hidden="1" customHeight="1">
      <c r="B13" s="5">
        <v>2004</v>
      </c>
      <c r="C13" s="6">
        <v>1692995.4</v>
      </c>
      <c r="D13" s="6">
        <v>43427</v>
      </c>
      <c r="E13" s="6">
        <v>401593.9</v>
      </c>
      <c r="F13" s="6">
        <v>265748.59999999998</v>
      </c>
      <c r="G13" s="7">
        <f>SUM(C13:F13)</f>
        <v>2403764.9</v>
      </c>
      <c r="H13" s="6">
        <v>51128.9</v>
      </c>
      <c r="I13" s="6">
        <v>25460.2</v>
      </c>
      <c r="J13" s="6">
        <v>39809.9</v>
      </c>
      <c r="K13" s="6">
        <v>44837.5</v>
      </c>
      <c r="L13" s="6">
        <v>64884.4</v>
      </c>
      <c r="M13" s="6">
        <v>15144.6</v>
      </c>
      <c r="N13" s="6">
        <v>114639.9</v>
      </c>
      <c r="O13" s="6">
        <v>24039</v>
      </c>
      <c r="P13" s="7">
        <f>SUM(H13:O13)</f>
        <v>379944.4</v>
      </c>
    </row>
    <row r="14" spans="2:16" ht="34.9" hidden="1" customHeight="1">
      <c r="B14" s="9">
        <v>2005</v>
      </c>
      <c r="C14" s="10">
        <v>6043405.2000000002</v>
      </c>
      <c r="D14" s="10">
        <v>179878.39999999999</v>
      </c>
      <c r="E14" s="10">
        <v>4744952.3</v>
      </c>
      <c r="F14" s="10">
        <v>2232453</v>
      </c>
      <c r="G14" s="11">
        <f>SUM(C14:F14)</f>
        <v>13200688.9</v>
      </c>
      <c r="H14" s="10">
        <v>46046.6</v>
      </c>
      <c r="I14" s="10">
        <v>71817.7</v>
      </c>
      <c r="J14" s="10">
        <v>141850.9</v>
      </c>
      <c r="K14" s="10">
        <v>310442.09999999998</v>
      </c>
      <c r="L14" s="10">
        <v>273179.59999999998</v>
      </c>
      <c r="M14" s="10">
        <v>26351.8</v>
      </c>
      <c r="N14" s="10">
        <v>230774</v>
      </c>
      <c r="O14" s="10">
        <v>95457.9</v>
      </c>
      <c r="P14" s="11">
        <f>SUM(H14:O14)</f>
        <v>1195920.5999999999</v>
      </c>
    </row>
    <row r="15" spans="2:16" ht="34.9" hidden="1" customHeight="1">
      <c r="B15" s="5">
        <v>2006</v>
      </c>
      <c r="C15" s="6">
        <v>2869730.6</v>
      </c>
      <c r="D15" s="6">
        <v>89033</v>
      </c>
      <c r="E15" s="6">
        <v>4218140.0999999996</v>
      </c>
      <c r="F15" s="6">
        <v>4393297.9000000004</v>
      </c>
      <c r="G15" s="7">
        <f>SUM(C15:F15)</f>
        <v>11570201.6</v>
      </c>
      <c r="H15" s="6">
        <v>47103.199999999997</v>
      </c>
      <c r="I15" s="6">
        <v>78905</v>
      </c>
      <c r="J15" s="6">
        <v>229598.8</v>
      </c>
      <c r="K15" s="6">
        <v>220259.1</v>
      </c>
      <c r="L15" s="6">
        <v>67149</v>
      </c>
      <c r="M15" s="6">
        <v>21729.1</v>
      </c>
      <c r="N15" s="6">
        <v>103599.8</v>
      </c>
      <c r="O15" s="6">
        <v>173845.9</v>
      </c>
      <c r="P15" s="7">
        <f>SUM(H15:O15)</f>
        <v>942189.9</v>
      </c>
    </row>
    <row r="16" spans="2:16" ht="34.9" hidden="1" customHeight="1">
      <c r="B16" s="9">
        <v>2007</v>
      </c>
      <c r="C16" s="10">
        <v>3411816.2</v>
      </c>
      <c r="D16" s="10">
        <v>419503.6</v>
      </c>
      <c r="E16" s="10">
        <v>2143445.7000000002</v>
      </c>
      <c r="F16" s="10">
        <v>2780253</v>
      </c>
      <c r="G16" s="11">
        <f>SUM(C16:F16)</f>
        <v>8755018.5</v>
      </c>
      <c r="H16" s="10">
        <v>168843.9</v>
      </c>
      <c r="I16" s="10">
        <v>250757.9</v>
      </c>
      <c r="J16" s="10">
        <v>221445.7</v>
      </c>
      <c r="K16" s="10">
        <v>426666.8</v>
      </c>
      <c r="L16" s="10">
        <v>143057.60000000001</v>
      </c>
      <c r="M16" s="10">
        <v>43098.6</v>
      </c>
      <c r="N16" s="10">
        <v>209734.8</v>
      </c>
      <c r="O16" s="10">
        <v>218603.2</v>
      </c>
      <c r="P16" s="11">
        <f>SUM(H16:O16)</f>
        <v>1682208.5000000002</v>
      </c>
    </row>
    <row r="17" spans="2:16" ht="34.9" hidden="1" customHeight="1">
      <c r="B17" s="5">
        <v>2008</v>
      </c>
      <c r="C17" s="6">
        <v>3229673.5349999997</v>
      </c>
      <c r="D17" s="6">
        <v>502298.92200000002</v>
      </c>
      <c r="E17" s="6">
        <v>2355595.9030000004</v>
      </c>
      <c r="F17" s="6">
        <v>3551368.4040000001</v>
      </c>
      <c r="G17" s="7">
        <v>9638936.7640000004</v>
      </c>
      <c r="H17" s="6">
        <v>106342.548</v>
      </c>
      <c r="I17" s="6">
        <v>109841.84599999999</v>
      </c>
      <c r="J17" s="6">
        <v>140456.32799999998</v>
      </c>
      <c r="K17" s="6">
        <v>649268.80100000009</v>
      </c>
      <c r="L17" s="6">
        <v>541038.51500000001</v>
      </c>
      <c r="M17" s="6">
        <v>28765.892</v>
      </c>
      <c r="N17" s="6">
        <v>3359703.0490000001</v>
      </c>
      <c r="O17" s="6">
        <v>486824.94</v>
      </c>
      <c r="P17" s="7">
        <v>5422241.9190000007</v>
      </c>
    </row>
    <row r="18" spans="2:16" ht="34.9" hidden="1" customHeight="1">
      <c r="B18" s="9">
        <v>2009</v>
      </c>
      <c r="C18" s="10">
        <v>947458.7080000001</v>
      </c>
      <c r="D18" s="10">
        <v>463997.07</v>
      </c>
      <c r="E18" s="10">
        <v>1995527.9600000004</v>
      </c>
      <c r="F18" s="10">
        <v>2937728.4930000002</v>
      </c>
      <c r="G18" s="11">
        <v>6344712.2310000006</v>
      </c>
      <c r="H18" s="10">
        <v>15124.849000000002</v>
      </c>
      <c r="I18" s="10">
        <v>21889.51</v>
      </c>
      <c r="J18" s="10">
        <v>170760.18</v>
      </c>
      <c r="K18" s="10">
        <v>386276.92999999993</v>
      </c>
      <c r="L18" s="10">
        <v>70962.301999999996</v>
      </c>
      <c r="M18" s="10">
        <v>7760.5600000000013</v>
      </c>
      <c r="N18" s="10">
        <v>461790.54</v>
      </c>
      <c r="O18" s="10">
        <v>896281.02100000007</v>
      </c>
      <c r="P18" s="11">
        <v>2030845.892</v>
      </c>
    </row>
    <row r="19" spans="2:16" ht="34.9" hidden="1" customHeight="1">
      <c r="B19" s="5">
        <v>2010</v>
      </c>
      <c r="C19" s="6">
        <v>712823.21100000001</v>
      </c>
      <c r="D19" s="6">
        <v>242227.5</v>
      </c>
      <c r="E19" s="6">
        <v>1556263.4190000002</v>
      </c>
      <c r="F19" s="6">
        <v>1662798.5</v>
      </c>
      <c r="G19" s="7">
        <v>4174112.6300000004</v>
      </c>
      <c r="H19" s="6">
        <v>11556.568000000001</v>
      </c>
      <c r="I19" s="6">
        <v>8218.4830000000002</v>
      </c>
      <c r="J19" s="6">
        <v>220809.951</v>
      </c>
      <c r="K19" s="6">
        <v>338053.05</v>
      </c>
      <c r="L19" s="6">
        <v>32163.41</v>
      </c>
      <c r="M19" s="6">
        <v>9176.7240000000002</v>
      </c>
      <c r="N19" s="6">
        <v>89939.592000000004</v>
      </c>
      <c r="O19" s="6">
        <v>1034745.7390000001</v>
      </c>
      <c r="P19" s="7">
        <v>1744663.5170000002</v>
      </c>
    </row>
    <row r="20" spans="2:16" ht="34.9" hidden="1" customHeight="1">
      <c r="B20" s="9">
        <v>2011</v>
      </c>
      <c r="C20" s="10">
        <v>460084.1</v>
      </c>
      <c r="D20" s="10">
        <v>73111.100000000006</v>
      </c>
      <c r="E20" s="10">
        <v>471056.3</v>
      </c>
      <c r="F20" s="10">
        <v>753099.4</v>
      </c>
      <c r="G20" s="11">
        <v>1757350.9</v>
      </c>
      <c r="H20" s="10">
        <v>5444.5999999999995</v>
      </c>
      <c r="I20" s="10">
        <v>7758.4000000000005</v>
      </c>
      <c r="J20" s="10">
        <v>142677.9</v>
      </c>
      <c r="K20" s="10">
        <v>130639.2</v>
      </c>
      <c r="L20" s="10">
        <v>18779.2</v>
      </c>
      <c r="M20" s="10">
        <v>9842.6</v>
      </c>
      <c r="N20" s="10">
        <v>108581.6</v>
      </c>
      <c r="O20" s="10">
        <v>152278.6</v>
      </c>
      <c r="P20" s="11">
        <v>576002.1</v>
      </c>
    </row>
    <row r="21" spans="2:16" ht="34.9" hidden="1" customHeight="1">
      <c r="B21" s="5">
        <v>2012</v>
      </c>
      <c r="C21" s="6">
        <v>336108.60000000003</v>
      </c>
      <c r="D21" s="6">
        <v>24079.7</v>
      </c>
      <c r="E21" s="6">
        <v>329930.3</v>
      </c>
      <c r="F21" s="6">
        <v>499360.49999999994</v>
      </c>
      <c r="G21" s="7">
        <v>1189479.1000000001</v>
      </c>
      <c r="H21" s="6">
        <v>7237.3</v>
      </c>
      <c r="I21" s="6">
        <v>4697.2</v>
      </c>
      <c r="J21" s="6">
        <v>73081.900000000009</v>
      </c>
      <c r="K21" s="6">
        <v>166289.90000000002</v>
      </c>
      <c r="L21" s="6">
        <v>13543.6</v>
      </c>
      <c r="M21" s="6">
        <v>4878.8999999999996</v>
      </c>
      <c r="N21" s="6">
        <v>70644</v>
      </c>
      <c r="O21" s="6">
        <v>63521</v>
      </c>
      <c r="P21" s="7">
        <v>403893.80000000005</v>
      </c>
    </row>
    <row r="22" spans="2:16" ht="34.9" hidden="1" customHeight="1">
      <c r="B22" s="9">
        <v>2013</v>
      </c>
      <c r="C22" s="10">
        <v>865959.88199999987</v>
      </c>
      <c r="D22" s="10">
        <v>13705.8</v>
      </c>
      <c r="E22" s="10">
        <v>438276.39999999997</v>
      </c>
      <c r="F22" s="10">
        <v>903497.1</v>
      </c>
      <c r="G22" s="11">
        <v>2221439.1430000002</v>
      </c>
      <c r="H22" s="10">
        <v>3035.3</v>
      </c>
      <c r="I22" s="10">
        <v>14880.100000000002</v>
      </c>
      <c r="J22" s="10">
        <v>71286.900000000009</v>
      </c>
      <c r="K22" s="10">
        <v>182580.4</v>
      </c>
      <c r="L22" s="10">
        <v>17470.199999999997</v>
      </c>
      <c r="M22" s="10">
        <v>3561.2999999999997</v>
      </c>
      <c r="N22" s="10">
        <v>45905.599999999999</v>
      </c>
      <c r="O22" s="10">
        <v>69400.5</v>
      </c>
      <c r="P22" s="11">
        <v>408120.3</v>
      </c>
    </row>
    <row r="23" spans="2:16" ht="34.9" hidden="1" customHeight="1">
      <c r="B23" s="5">
        <v>2014</v>
      </c>
      <c r="C23" s="6">
        <v>504556.49900000001</v>
      </c>
      <c r="D23" s="6">
        <v>19925.757999999998</v>
      </c>
      <c r="E23" s="6">
        <v>314298.81400000001</v>
      </c>
      <c r="F23" s="6">
        <v>672065.31900000002</v>
      </c>
      <c r="G23" s="7">
        <v>1510846.3900000001</v>
      </c>
      <c r="H23" s="6">
        <v>13082.478999999999</v>
      </c>
      <c r="I23" s="6">
        <v>8849.2670000000016</v>
      </c>
      <c r="J23" s="6">
        <v>65221.222000000002</v>
      </c>
      <c r="K23" s="6">
        <v>158213.788</v>
      </c>
      <c r="L23" s="6">
        <v>16784.954999999998</v>
      </c>
      <c r="M23" s="6">
        <v>1429.1220000000001</v>
      </c>
      <c r="N23" s="6">
        <v>50727.292000000001</v>
      </c>
      <c r="O23" s="6">
        <v>59155.415999999997</v>
      </c>
      <c r="P23" s="7">
        <v>373463.54100000008</v>
      </c>
    </row>
    <row r="24" spans="2:16" ht="34.9" hidden="1" customHeight="1">
      <c r="B24" s="9">
        <v>2015</v>
      </c>
      <c r="C24" s="10">
        <v>722636.27800000005</v>
      </c>
      <c r="D24" s="10">
        <v>35617.731</v>
      </c>
      <c r="E24" s="10">
        <v>349133.47300000006</v>
      </c>
      <c r="F24" s="10">
        <v>1233555.7450000001</v>
      </c>
      <c r="G24" s="11">
        <v>2340943.227</v>
      </c>
      <c r="H24" s="10">
        <v>27539.492999999995</v>
      </c>
      <c r="I24" s="10">
        <v>13337.827999999998</v>
      </c>
      <c r="J24" s="10">
        <v>51026.56900000001</v>
      </c>
      <c r="K24" s="10">
        <v>198697.522</v>
      </c>
      <c r="L24" s="10">
        <v>15302.848</v>
      </c>
      <c r="M24" s="10">
        <v>981.35000000000014</v>
      </c>
      <c r="N24" s="10">
        <v>110382.40700000001</v>
      </c>
      <c r="O24" s="10">
        <v>312305.07</v>
      </c>
      <c r="P24" s="11">
        <v>729572.98700000008</v>
      </c>
    </row>
    <row r="25" spans="2:16" ht="34.9" hidden="1" customHeight="1">
      <c r="B25" s="5">
        <v>2016</v>
      </c>
      <c r="C25" s="6">
        <v>429811.40399999998</v>
      </c>
      <c r="D25" s="6">
        <v>7857.5700000000006</v>
      </c>
      <c r="E25" s="6">
        <v>291884.22499999998</v>
      </c>
      <c r="F25" s="6">
        <v>472554.67200000002</v>
      </c>
      <c r="G25" s="7">
        <v>1202107.871</v>
      </c>
      <c r="H25" s="6">
        <v>9115.1329999999998</v>
      </c>
      <c r="I25" s="6">
        <v>42351.57</v>
      </c>
      <c r="J25" s="6">
        <v>48963.025000000001</v>
      </c>
      <c r="K25" s="6">
        <v>163881.723</v>
      </c>
      <c r="L25" s="6">
        <v>7446.16</v>
      </c>
      <c r="M25" s="6">
        <v>1176.864</v>
      </c>
      <c r="N25" s="6">
        <v>80564.702000000005</v>
      </c>
      <c r="O25" s="6">
        <v>70140.145000000004</v>
      </c>
      <c r="P25" s="7">
        <v>423639.32200000004</v>
      </c>
    </row>
    <row r="26" spans="2:16" ht="34.9" hidden="1" customHeight="1">
      <c r="B26" s="9">
        <v>2017</v>
      </c>
      <c r="C26" s="10">
        <v>1260506.827</v>
      </c>
      <c r="D26" s="10">
        <v>21645.607999999997</v>
      </c>
      <c r="E26" s="10">
        <v>310502.78250000003</v>
      </c>
      <c r="F26" s="10">
        <v>302802.89899999998</v>
      </c>
      <c r="G26" s="11">
        <v>1895458.1165</v>
      </c>
      <c r="H26" s="10">
        <v>5330.8589999999995</v>
      </c>
      <c r="I26" s="10">
        <v>14547.413</v>
      </c>
      <c r="J26" s="10">
        <v>77915.774999999994</v>
      </c>
      <c r="K26" s="10">
        <v>124131.75700000001</v>
      </c>
      <c r="L26" s="10">
        <v>11655.051000000001</v>
      </c>
      <c r="M26" s="10">
        <v>472.95800000000003</v>
      </c>
      <c r="N26" s="10">
        <v>87205.389999999985</v>
      </c>
      <c r="O26" s="10">
        <v>53766.41599999999</v>
      </c>
      <c r="P26" s="11">
        <v>375025.61900000001</v>
      </c>
    </row>
    <row r="27" spans="2:16" s="8" customFormat="1" ht="34.9" hidden="1" customHeight="1">
      <c r="B27" s="5">
        <v>2018</v>
      </c>
      <c r="C27" s="6">
        <v>659126.41899999999</v>
      </c>
      <c r="D27" s="6">
        <v>19375.962</v>
      </c>
      <c r="E27" s="6">
        <v>139255.36499999996</v>
      </c>
      <c r="F27" s="6">
        <v>282247.81899999996</v>
      </c>
      <c r="G27" s="7">
        <v>1100005.5649999997</v>
      </c>
      <c r="H27" s="6">
        <v>6697.1179999999995</v>
      </c>
      <c r="I27" s="6">
        <v>13300.284000000001</v>
      </c>
      <c r="J27" s="6">
        <v>38309.725999999995</v>
      </c>
      <c r="K27" s="6">
        <v>49753.394999999997</v>
      </c>
      <c r="L27" s="6">
        <v>21591.65</v>
      </c>
      <c r="M27" s="6">
        <v>139.375</v>
      </c>
      <c r="N27" s="6">
        <v>61804.031999999999</v>
      </c>
      <c r="O27" s="6">
        <v>39435.706999999995</v>
      </c>
      <c r="P27" s="7">
        <v>231031.28699999998</v>
      </c>
    </row>
    <row r="28" spans="2:16" s="8" customFormat="1" ht="34.9" hidden="1" customHeight="1">
      <c r="B28" s="9">
        <v>2019</v>
      </c>
      <c r="C28" s="10">
        <v>528325.08500000008</v>
      </c>
      <c r="D28" s="10">
        <v>21978.219999999998</v>
      </c>
      <c r="E28" s="10">
        <v>154958.73800000001</v>
      </c>
      <c r="F28" s="10">
        <v>334137.897</v>
      </c>
      <c r="G28" s="11">
        <v>1039399.94</v>
      </c>
      <c r="H28" s="10">
        <v>3230.9610000000007</v>
      </c>
      <c r="I28" s="10">
        <v>5261.4319999999998</v>
      </c>
      <c r="J28" s="10">
        <v>32802.688999999998</v>
      </c>
      <c r="K28" s="10">
        <v>61202.391000000003</v>
      </c>
      <c r="L28" s="10">
        <v>14059.997999999996</v>
      </c>
      <c r="M28" s="10">
        <v>146.88000000000002</v>
      </c>
      <c r="N28" s="10">
        <v>101904.73099999999</v>
      </c>
      <c r="O28" s="10">
        <v>38063.884999999995</v>
      </c>
      <c r="P28" s="11">
        <v>256672.96699999998</v>
      </c>
    </row>
    <row r="29" spans="2:16" s="8" customFormat="1" ht="34.9" hidden="1" customHeight="1">
      <c r="B29" s="5" t="s">
        <v>143</v>
      </c>
      <c r="C29" s="6">
        <v>223741.32499999998</v>
      </c>
      <c r="D29" s="6">
        <v>29383.595999999994</v>
      </c>
      <c r="E29" s="6">
        <v>146626.08500000002</v>
      </c>
      <c r="F29" s="6">
        <v>256316.83699999994</v>
      </c>
      <c r="G29" s="7">
        <v>656067.84299999999</v>
      </c>
      <c r="H29" s="6">
        <v>1326.607</v>
      </c>
      <c r="I29" s="6">
        <v>2763.6460000000002</v>
      </c>
      <c r="J29" s="6">
        <v>10691.896000000001</v>
      </c>
      <c r="K29" s="6">
        <v>41420.933999999994</v>
      </c>
      <c r="L29" s="6">
        <v>7133.8789999999999</v>
      </c>
      <c r="M29" s="6">
        <v>45.522999999999996</v>
      </c>
      <c r="N29" s="6">
        <v>104232.32400000001</v>
      </c>
      <c r="O29" s="6">
        <v>42825.686000000002</v>
      </c>
      <c r="P29" s="7">
        <v>210440.495</v>
      </c>
    </row>
    <row r="30" spans="2:16" s="8" customFormat="1" ht="34.5" customHeight="1">
      <c r="B30" s="9">
        <v>2021</v>
      </c>
      <c r="C30" s="10">
        <v>383526.04000000004</v>
      </c>
      <c r="D30" s="10">
        <v>36482.295000000006</v>
      </c>
      <c r="E30" s="10">
        <v>118446.766</v>
      </c>
      <c r="F30" s="10">
        <v>445112.45199999999</v>
      </c>
      <c r="G30" s="11">
        <v>983567.55300000007</v>
      </c>
      <c r="H30" s="10">
        <v>774.17200000000003</v>
      </c>
      <c r="I30" s="10">
        <v>9551.6299999999992</v>
      </c>
      <c r="J30" s="10">
        <v>10335.540999999999</v>
      </c>
      <c r="K30" s="10">
        <v>59354.522999999994</v>
      </c>
      <c r="L30" s="10">
        <v>19403.201999999997</v>
      </c>
      <c r="M30" s="10">
        <v>0</v>
      </c>
      <c r="N30" s="10">
        <v>269847.06799999997</v>
      </c>
      <c r="O30" s="10">
        <v>114903.743</v>
      </c>
      <c r="P30" s="11">
        <v>484169.87899999996</v>
      </c>
    </row>
    <row r="31" spans="2:16" s="8" customFormat="1" ht="34.9" customHeight="1">
      <c r="B31" s="5">
        <v>2022</v>
      </c>
      <c r="C31" s="6">
        <v>449746.72899999999</v>
      </c>
      <c r="D31" s="6">
        <v>68412.499000000011</v>
      </c>
      <c r="E31" s="6">
        <v>89987.961999999985</v>
      </c>
      <c r="F31" s="6">
        <v>224593.29699999996</v>
      </c>
      <c r="G31" s="7">
        <v>832740.48699999996</v>
      </c>
      <c r="H31" s="6">
        <v>3589.0450000000001</v>
      </c>
      <c r="I31" s="6">
        <v>3987.9339999999997</v>
      </c>
      <c r="J31" s="6">
        <v>7249.9589999999998</v>
      </c>
      <c r="K31" s="6">
        <v>12009.199000000001</v>
      </c>
      <c r="L31" s="6">
        <v>96957.357000000004</v>
      </c>
      <c r="M31" s="6">
        <v>0</v>
      </c>
      <c r="N31" s="6">
        <v>414990.76799999998</v>
      </c>
      <c r="O31" s="6">
        <v>86167.735000000015</v>
      </c>
      <c r="P31" s="7">
        <v>624951.99699999997</v>
      </c>
    </row>
    <row r="32" spans="2:16" s="8" customFormat="1" ht="34.5" customHeight="1">
      <c r="B32" s="9">
        <v>2023</v>
      </c>
      <c r="C32" s="10">
        <v>232754.05000000005</v>
      </c>
      <c r="D32" s="10">
        <v>34578.811999999998</v>
      </c>
      <c r="E32" s="10">
        <v>115972.43600000002</v>
      </c>
      <c r="F32" s="10">
        <v>159495.35400000005</v>
      </c>
      <c r="G32" s="11">
        <v>542800.652</v>
      </c>
      <c r="H32" s="10">
        <v>616.13799999999992</v>
      </c>
      <c r="I32" s="10">
        <v>4253.8160000000007</v>
      </c>
      <c r="J32" s="10">
        <v>2867.4629999999997</v>
      </c>
      <c r="K32" s="10">
        <v>17363.263999999999</v>
      </c>
      <c r="L32" s="10">
        <v>168545.891</v>
      </c>
      <c r="M32" s="10">
        <v>0</v>
      </c>
      <c r="N32" s="10">
        <v>241737.78599999999</v>
      </c>
      <c r="O32" s="10">
        <v>11768.503000000002</v>
      </c>
      <c r="P32" s="11">
        <v>447152.86100000003</v>
      </c>
    </row>
    <row r="33" spans="2:17" s="8" customFormat="1" ht="34.9" customHeight="1">
      <c r="B33" s="5">
        <v>2024</v>
      </c>
      <c r="C33" s="6">
        <v>334082.25300000003</v>
      </c>
      <c r="D33" s="6">
        <v>6527.2380000000003</v>
      </c>
      <c r="E33" s="6">
        <v>97517.842000000004</v>
      </c>
      <c r="F33" s="6">
        <v>132419.32399999999</v>
      </c>
      <c r="G33" s="7">
        <v>570546.65700000001</v>
      </c>
      <c r="H33" s="6">
        <v>442.51900000000001</v>
      </c>
      <c r="I33" s="6">
        <v>7410.7920000000004</v>
      </c>
      <c r="J33" s="6">
        <v>4722.1710000000003</v>
      </c>
      <c r="K33" s="6">
        <v>30525.260999999999</v>
      </c>
      <c r="L33" s="6">
        <v>125272.448</v>
      </c>
      <c r="M33" s="6">
        <v>0</v>
      </c>
      <c r="N33" s="6">
        <v>222287.37100000001</v>
      </c>
      <c r="O33" s="6">
        <v>30184.177</v>
      </c>
      <c r="P33" s="7">
        <v>420844.73800000001</v>
      </c>
      <c r="Q33" s="139"/>
    </row>
    <row r="34" spans="2:17" s="8" customFormat="1" ht="34.5" customHeight="1">
      <c r="B34" s="9">
        <v>2025</v>
      </c>
      <c r="C34" s="10">
        <v>679699.54399999999</v>
      </c>
      <c r="D34" s="10">
        <v>20754.117000000002</v>
      </c>
      <c r="E34" s="10">
        <v>50536.2</v>
      </c>
      <c r="F34" s="10">
        <v>186238.01200000002</v>
      </c>
      <c r="G34" s="11">
        <v>937227.89899999998</v>
      </c>
      <c r="H34" s="10">
        <v>1817.7029999999997</v>
      </c>
      <c r="I34" s="10">
        <v>4902.1630000000005</v>
      </c>
      <c r="J34" s="10">
        <v>8929.4650000000001</v>
      </c>
      <c r="K34" s="10">
        <v>19610.715999999997</v>
      </c>
      <c r="L34" s="10">
        <v>178990.065</v>
      </c>
      <c r="M34" s="10">
        <v>0</v>
      </c>
      <c r="N34" s="10">
        <v>445559.56900000002</v>
      </c>
      <c r="O34" s="10">
        <v>9373.6039999999994</v>
      </c>
      <c r="P34" s="11">
        <v>669183.28500000003</v>
      </c>
    </row>
    <row r="35" spans="2:17" ht="34.9" hidden="1" customHeight="1">
      <c r="B35" s="3">
        <v>2006</v>
      </c>
      <c r="C35" s="12"/>
      <c r="D35" s="12"/>
      <c r="E35" s="12"/>
      <c r="F35" s="12"/>
      <c r="G35" s="13"/>
      <c r="H35" s="12"/>
      <c r="I35" s="12"/>
      <c r="J35" s="12"/>
      <c r="K35" s="12"/>
      <c r="L35" s="12"/>
      <c r="M35" s="12"/>
      <c r="N35" s="12"/>
      <c r="O35" s="12"/>
      <c r="P35" s="13"/>
    </row>
    <row r="36" spans="2:17" ht="34.9" hidden="1" customHeight="1">
      <c r="B36" s="14">
        <v>38899</v>
      </c>
      <c r="C36" s="6">
        <v>216755.3</v>
      </c>
      <c r="D36" s="6">
        <v>5024.8999999999996</v>
      </c>
      <c r="E36" s="6">
        <v>244288.8</v>
      </c>
      <c r="F36" s="6">
        <v>262714.2</v>
      </c>
      <c r="G36" s="7">
        <f t="shared" ref="G36:G41" si="0">SUM(C36:F36)</f>
        <v>728783.2</v>
      </c>
      <c r="H36" s="6">
        <v>4034.5</v>
      </c>
      <c r="I36" s="6">
        <v>6487</v>
      </c>
      <c r="J36" s="6">
        <v>42678.8</v>
      </c>
      <c r="K36" s="6">
        <v>8604.1</v>
      </c>
      <c r="L36" s="6" t="s">
        <v>92</v>
      </c>
      <c r="M36" s="6">
        <v>1098</v>
      </c>
      <c r="N36" s="6">
        <v>5087.1000000000004</v>
      </c>
      <c r="O36" s="6">
        <v>10846</v>
      </c>
      <c r="P36" s="7">
        <f t="shared" ref="P36:P41" si="1">SUM(H36:O36)</f>
        <v>78835.5</v>
      </c>
    </row>
    <row r="37" spans="2:17" ht="34.9" hidden="1" customHeight="1">
      <c r="B37" s="15">
        <v>38930</v>
      </c>
      <c r="C37" s="10">
        <v>195791.5</v>
      </c>
      <c r="D37" s="10">
        <v>6429.6</v>
      </c>
      <c r="E37" s="10">
        <v>558392.19999999995</v>
      </c>
      <c r="F37" s="10">
        <v>653860.80000000005</v>
      </c>
      <c r="G37" s="11">
        <f t="shared" si="0"/>
        <v>1414474.1</v>
      </c>
      <c r="H37" s="10">
        <v>2390.1</v>
      </c>
      <c r="I37" s="10">
        <v>8640.2999999999993</v>
      </c>
      <c r="J37" s="10">
        <v>51635.6</v>
      </c>
      <c r="K37" s="10">
        <v>23528.799999999999</v>
      </c>
      <c r="L37" s="10" t="s">
        <v>92</v>
      </c>
      <c r="M37" s="10">
        <v>865.8</v>
      </c>
      <c r="N37" s="10">
        <v>31620.799999999999</v>
      </c>
      <c r="O37" s="10">
        <v>13930.1</v>
      </c>
      <c r="P37" s="11">
        <f t="shared" si="1"/>
        <v>132611.5</v>
      </c>
    </row>
    <row r="38" spans="2:17" ht="34.9" hidden="1" customHeight="1">
      <c r="B38" s="14">
        <v>38961</v>
      </c>
      <c r="C38" s="6">
        <v>127900.8</v>
      </c>
      <c r="D38" s="6">
        <v>6931.3</v>
      </c>
      <c r="E38" s="6">
        <v>263019.59999999998</v>
      </c>
      <c r="F38" s="6">
        <v>503530.7</v>
      </c>
      <c r="G38" s="7">
        <f t="shared" si="0"/>
        <v>901382.39999999991</v>
      </c>
      <c r="H38" s="6">
        <v>3507.1</v>
      </c>
      <c r="I38" s="6">
        <v>12238.7</v>
      </c>
      <c r="J38" s="6">
        <v>19832</v>
      </c>
      <c r="K38" s="6">
        <v>38987.1</v>
      </c>
      <c r="L38" s="6" t="s">
        <v>92</v>
      </c>
      <c r="M38" s="6">
        <v>498.1</v>
      </c>
      <c r="N38" s="6">
        <v>9976.7999999999993</v>
      </c>
      <c r="O38" s="6">
        <v>25743.7</v>
      </c>
      <c r="P38" s="7">
        <f t="shared" si="1"/>
        <v>110783.5</v>
      </c>
    </row>
    <row r="39" spans="2:17" ht="34.9" hidden="1" customHeight="1">
      <c r="B39" s="15">
        <v>38991</v>
      </c>
      <c r="C39" s="10">
        <v>95484.1</v>
      </c>
      <c r="D39" s="10">
        <v>4020.1</v>
      </c>
      <c r="E39" s="10">
        <v>204511.1</v>
      </c>
      <c r="F39" s="10">
        <v>328793.7</v>
      </c>
      <c r="G39" s="11">
        <f t="shared" si="0"/>
        <v>632809</v>
      </c>
      <c r="H39" s="10">
        <v>8377.7999999999993</v>
      </c>
      <c r="I39" s="10">
        <v>10303.9</v>
      </c>
      <c r="J39" s="10">
        <v>16182.2</v>
      </c>
      <c r="K39" s="10">
        <v>39524.9</v>
      </c>
      <c r="L39" s="10">
        <v>2511.8000000000002</v>
      </c>
      <c r="M39" s="10">
        <v>255.8</v>
      </c>
      <c r="N39" s="10">
        <v>3191.3</v>
      </c>
      <c r="O39" s="10">
        <v>23726.6</v>
      </c>
      <c r="P39" s="11">
        <f t="shared" si="1"/>
        <v>104074.29999999999</v>
      </c>
    </row>
    <row r="40" spans="2:17" ht="34.9" hidden="1" customHeight="1">
      <c r="B40" s="14">
        <v>39022</v>
      </c>
      <c r="C40" s="6">
        <v>104060.8</v>
      </c>
      <c r="D40" s="6">
        <v>4615.1000000000004</v>
      </c>
      <c r="E40" s="6">
        <v>184138.2</v>
      </c>
      <c r="F40" s="6">
        <v>375792.2</v>
      </c>
      <c r="G40" s="7">
        <f t="shared" si="0"/>
        <v>668606.30000000005</v>
      </c>
      <c r="H40" s="6">
        <v>7649.5</v>
      </c>
      <c r="I40" s="6">
        <v>11738.9</v>
      </c>
      <c r="J40" s="6">
        <v>19608.8</v>
      </c>
      <c r="K40" s="6">
        <v>16343.6</v>
      </c>
      <c r="L40" s="6">
        <v>2738.3</v>
      </c>
      <c r="M40" s="6">
        <v>559.29999999999995</v>
      </c>
      <c r="N40" s="6">
        <v>4736.6000000000004</v>
      </c>
      <c r="O40" s="6">
        <v>19393.099999999999</v>
      </c>
      <c r="P40" s="7">
        <f t="shared" si="1"/>
        <v>82768.100000000006</v>
      </c>
    </row>
    <row r="41" spans="2:17" ht="34.9" hidden="1" customHeight="1">
      <c r="B41" s="15">
        <v>39052</v>
      </c>
      <c r="C41" s="10">
        <v>176522</v>
      </c>
      <c r="D41" s="10">
        <v>3321</v>
      </c>
      <c r="E41" s="10">
        <v>95853.2</v>
      </c>
      <c r="F41" s="10">
        <v>256924.4</v>
      </c>
      <c r="G41" s="11">
        <f t="shared" si="0"/>
        <v>532620.6</v>
      </c>
      <c r="H41" s="10">
        <v>2476.8000000000002</v>
      </c>
      <c r="I41" s="10">
        <v>1591.2</v>
      </c>
      <c r="J41" s="10">
        <v>21868.9</v>
      </c>
      <c r="K41" s="10">
        <v>11549.5</v>
      </c>
      <c r="L41" s="10">
        <v>1642.1</v>
      </c>
      <c r="M41" s="10">
        <v>335.3</v>
      </c>
      <c r="N41" s="10">
        <v>2945.4</v>
      </c>
      <c r="O41" s="10">
        <v>14842.6</v>
      </c>
      <c r="P41" s="11">
        <f t="shared" si="1"/>
        <v>57251.8</v>
      </c>
    </row>
    <row r="42" spans="2:17" ht="34.9" hidden="1" customHeight="1">
      <c r="B42" s="3">
        <v>2007</v>
      </c>
      <c r="C42" s="12"/>
      <c r="D42" s="12"/>
      <c r="E42" s="12"/>
      <c r="F42" s="12"/>
      <c r="G42" s="13"/>
      <c r="H42" s="12"/>
      <c r="I42" s="12"/>
      <c r="J42" s="12"/>
      <c r="K42" s="12"/>
      <c r="L42" s="12"/>
      <c r="M42" s="12"/>
      <c r="N42" s="12"/>
      <c r="O42" s="12"/>
      <c r="P42" s="13"/>
    </row>
    <row r="43" spans="2:17" ht="34.9" hidden="1" customHeight="1">
      <c r="B43" s="14">
        <v>39083</v>
      </c>
      <c r="C43" s="6">
        <v>302697.09999999998</v>
      </c>
      <c r="D43" s="6">
        <v>5904.6</v>
      </c>
      <c r="E43" s="6">
        <v>109772.5</v>
      </c>
      <c r="F43" s="6">
        <v>215550</v>
      </c>
      <c r="G43" s="7">
        <f t="shared" ref="G43:G54" si="2">SUM(C43:F43)</f>
        <v>633924.19999999995</v>
      </c>
      <c r="H43" s="6">
        <v>5589.6</v>
      </c>
      <c r="I43" s="6">
        <v>4647.8999999999996</v>
      </c>
      <c r="J43" s="6">
        <v>12270</v>
      </c>
      <c r="K43" s="6">
        <v>35112.6</v>
      </c>
      <c r="L43" s="6">
        <v>4604.1000000000004</v>
      </c>
      <c r="M43" s="6">
        <v>1638.8</v>
      </c>
      <c r="N43" s="6">
        <v>11048.1</v>
      </c>
      <c r="O43" s="6">
        <v>11522.4</v>
      </c>
      <c r="P43" s="7">
        <f t="shared" ref="P43:P54" si="3">SUM(H43:O43)</f>
        <v>86433.5</v>
      </c>
    </row>
    <row r="44" spans="2:17" ht="34.9" hidden="1" customHeight="1">
      <c r="B44" s="15">
        <v>39114</v>
      </c>
      <c r="C44" s="10">
        <v>602874.4</v>
      </c>
      <c r="D44" s="10">
        <v>5961</v>
      </c>
      <c r="E44" s="10">
        <v>214017.2</v>
      </c>
      <c r="F44" s="10">
        <v>345378.4</v>
      </c>
      <c r="G44" s="11">
        <f t="shared" si="2"/>
        <v>1168231</v>
      </c>
      <c r="H44" s="10">
        <v>43137</v>
      </c>
      <c r="I44" s="10">
        <v>7014.7</v>
      </c>
      <c r="J44" s="10">
        <v>19341.7</v>
      </c>
      <c r="K44" s="10">
        <v>60265.4</v>
      </c>
      <c r="L44" s="10">
        <v>7528.1</v>
      </c>
      <c r="M44" s="10">
        <v>1784.7</v>
      </c>
      <c r="N44" s="10">
        <v>23075.599999999999</v>
      </c>
      <c r="O44" s="10">
        <v>12591.5</v>
      </c>
      <c r="P44" s="11">
        <f t="shared" si="3"/>
        <v>174738.7</v>
      </c>
    </row>
    <row r="45" spans="2:17" ht="34.9" hidden="1" customHeight="1">
      <c r="B45" s="14">
        <v>39142</v>
      </c>
      <c r="C45" s="6">
        <v>435600.2</v>
      </c>
      <c r="D45" s="6">
        <v>14588.6</v>
      </c>
      <c r="E45" s="6">
        <v>198401.7</v>
      </c>
      <c r="F45" s="6">
        <v>202112</v>
      </c>
      <c r="G45" s="7">
        <f t="shared" si="2"/>
        <v>850702.5</v>
      </c>
      <c r="H45" s="6">
        <v>14882.1</v>
      </c>
      <c r="I45" s="6">
        <v>13800.4</v>
      </c>
      <c r="J45" s="6">
        <v>14991</v>
      </c>
      <c r="K45" s="6">
        <v>54561.7</v>
      </c>
      <c r="L45" s="6">
        <v>5675.6</v>
      </c>
      <c r="M45" s="6">
        <v>2319.4</v>
      </c>
      <c r="N45" s="6">
        <v>9093</v>
      </c>
      <c r="O45" s="6">
        <v>20798.400000000001</v>
      </c>
      <c r="P45" s="7">
        <f t="shared" si="3"/>
        <v>136121.60000000001</v>
      </c>
    </row>
    <row r="46" spans="2:17" ht="34.9" hidden="1" customHeight="1">
      <c r="B46" s="15">
        <v>39173</v>
      </c>
      <c r="C46" s="10">
        <v>201861.7</v>
      </c>
      <c r="D46" s="10">
        <v>17347.5</v>
      </c>
      <c r="E46" s="10">
        <v>89737.600000000006</v>
      </c>
      <c r="F46" s="10">
        <v>153470.70000000001</v>
      </c>
      <c r="G46" s="11">
        <f t="shared" si="2"/>
        <v>462417.50000000006</v>
      </c>
      <c r="H46" s="10">
        <v>37943.800000000003</v>
      </c>
      <c r="I46" s="10">
        <v>11574.4</v>
      </c>
      <c r="J46" s="10">
        <v>49727.9</v>
      </c>
      <c r="K46" s="10">
        <v>50280.4</v>
      </c>
      <c r="L46" s="10">
        <v>13369.8</v>
      </c>
      <c r="M46" s="10">
        <v>2442.4</v>
      </c>
      <c r="N46" s="10">
        <v>5487.8</v>
      </c>
      <c r="O46" s="10">
        <v>6826.7</v>
      </c>
      <c r="P46" s="11">
        <f t="shared" si="3"/>
        <v>177653.19999999998</v>
      </c>
    </row>
    <row r="47" spans="2:17" ht="34.9" hidden="1" customHeight="1">
      <c r="B47" s="14">
        <v>39203</v>
      </c>
      <c r="C47" s="6">
        <v>184603.2</v>
      </c>
      <c r="D47" s="6">
        <v>28670.5</v>
      </c>
      <c r="E47" s="6">
        <v>76485.5</v>
      </c>
      <c r="F47" s="6">
        <v>254757.8</v>
      </c>
      <c r="G47" s="7">
        <f t="shared" si="2"/>
        <v>544517</v>
      </c>
      <c r="H47" s="6">
        <v>15036</v>
      </c>
      <c r="I47" s="6">
        <v>29551.200000000001</v>
      </c>
      <c r="J47" s="6">
        <v>22068</v>
      </c>
      <c r="K47" s="6">
        <v>31738.799999999999</v>
      </c>
      <c r="L47" s="6">
        <v>5609.3</v>
      </c>
      <c r="M47" s="6">
        <v>4321</v>
      </c>
      <c r="N47" s="6">
        <v>3582.4</v>
      </c>
      <c r="O47" s="6">
        <v>24677.8</v>
      </c>
      <c r="P47" s="7">
        <f t="shared" si="3"/>
        <v>136584.5</v>
      </c>
    </row>
    <row r="48" spans="2:17" ht="34.9" hidden="1" customHeight="1">
      <c r="B48" s="15">
        <v>39234</v>
      </c>
      <c r="C48" s="10">
        <v>173464.1</v>
      </c>
      <c r="D48" s="10">
        <v>47289.3</v>
      </c>
      <c r="E48" s="10">
        <v>113264.7</v>
      </c>
      <c r="F48" s="10">
        <v>264397</v>
      </c>
      <c r="G48" s="11">
        <f t="shared" si="2"/>
        <v>598415.10000000009</v>
      </c>
      <c r="H48" s="10">
        <v>17352.3</v>
      </c>
      <c r="I48" s="10">
        <v>85034.1</v>
      </c>
      <c r="J48" s="10">
        <v>14154</v>
      </c>
      <c r="K48" s="10">
        <v>51560.9</v>
      </c>
      <c r="L48" s="10">
        <v>4004.1</v>
      </c>
      <c r="M48" s="10">
        <v>2038.1</v>
      </c>
      <c r="N48" s="10">
        <v>10091.700000000001</v>
      </c>
      <c r="O48" s="10">
        <v>18942</v>
      </c>
      <c r="P48" s="11">
        <f t="shared" si="3"/>
        <v>203177.20000000004</v>
      </c>
    </row>
    <row r="49" spans="2:16" ht="34.9" hidden="1" customHeight="1">
      <c r="B49" s="14">
        <v>39264</v>
      </c>
      <c r="C49" s="6">
        <v>482921.6</v>
      </c>
      <c r="D49" s="6">
        <f>66225.9+3297</f>
        <v>69522.899999999994</v>
      </c>
      <c r="E49" s="6">
        <v>153102.1</v>
      </c>
      <c r="F49" s="6">
        <v>248512.9</v>
      </c>
      <c r="G49" s="7">
        <f t="shared" si="2"/>
        <v>954059.5</v>
      </c>
      <c r="H49" s="6">
        <v>5574</v>
      </c>
      <c r="I49" s="6">
        <f>33759+202.1</f>
        <v>33961.1</v>
      </c>
      <c r="J49" s="6">
        <v>16949.400000000001</v>
      </c>
      <c r="K49" s="6">
        <v>22888.7</v>
      </c>
      <c r="L49" s="6">
        <v>3449.3</v>
      </c>
      <c r="M49" s="6">
        <v>6030.2</v>
      </c>
      <c r="N49" s="6">
        <v>4913.7</v>
      </c>
      <c r="O49" s="6">
        <v>16604.7</v>
      </c>
      <c r="P49" s="7">
        <f t="shared" si="3"/>
        <v>110371.09999999999</v>
      </c>
    </row>
    <row r="50" spans="2:16" ht="34.9" hidden="1" customHeight="1">
      <c r="B50" s="15">
        <v>39295</v>
      </c>
      <c r="C50" s="10">
        <v>91453.7</v>
      </c>
      <c r="D50" s="10">
        <f>68435.8+1484.8</f>
        <v>69920.600000000006</v>
      </c>
      <c r="E50" s="10">
        <f>155825.2+1913.9</f>
        <v>157739.1</v>
      </c>
      <c r="F50" s="10">
        <v>153879</v>
      </c>
      <c r="G50" s="11">
        <f t="shared" si="2"/>
        <v>472992.4</v>
      </c>
      <c r="H50" s="10">
        <v>11308.7</v>
      </c>
      <c r="I50" s="10">
        <v>27976.3</v>
      </c>
      <c r="J50" s="10">
        <v>8774.7000000000007</v>
      </c>
      <c r="K50" s="10">
        <f>16875.4+230</f>
        <v>17105.400000000001</v>
      </c>
      <c r="L50" s="10">
        <v>4754.1000000000004</v>
      </c>
      <c r="M50" s="10">
        <v>2461.8000000000002</v>
      </c>
      <c r="N50" s="10">
        <v>3287.2</v>
      </c>
      <c r="O50" s="10">
        <v>18990.8</v>
      </c>
      <c r="P50" s="11">
        <f t="shared" si="3"/>
        <v>94659</v>
      </c>
    </row>
    <row r="51" spans="2:16" ht="34.9" hidden="1" customHeight="1">
      <c r="B51" s="14">
        <v>39326</v>
      </c>
      <c r="C51" s="6">
        <v>208750.1</v>
      </c>
      <c r="D51" s="6">
        <v>62025.8</v>
      </c>
      <c r="E51" s="6">
        <v>199791.5</v>
      </c>
      <c r="F51" s="6">
        <v>259784.5</v>
      </c>
      <c r="G51" s="7">
        <f t="shared" si="2"/>
        <v>730351.9</v>
      </c>
      <c r="H51" s="6">
        <v>6759.4</v>
      </c>
      <c r="I51" s="6">
        <v>14841.2</v>
      </c>
      <c r="J51" s="6">
        <v>9248.9</v>
      </c>
      <c r="K51" s="6">
        <v>16568.5</v>
      </c>
      <c r="L51" s="6">
        <v>3735.8</v>
      </c>
      <c r="M51" s="6">
        <v>2367.9</v>
      </c>
      <c r="N51" s="6">
        <v>2724.7</v>
      </c>
      <c r="O51" s="6">
        <v>15444.8</v>
      </c>
      <c r="P51" s="7">
        <f t="shared" si="3"/>
        <v>71691.199999999997</v>
      </c>
    </row>
    <row r="52" spans="2:16" ht="34.9" hidden="1" customHeight="1">
      <c r="B52" s="15">
        <v>39356</v>
      </c>
      <c r="C52" s="10">
        <f>301920.5+265+5000+3825</f>
        <v>311010.5</v>
      </c>
      <c r="D52" s="10">
        <v>40956.699999999997</v>
      </c>
      <c r="E52" s="10">
        <v>334041</v>
      </c>
      <c r="F52" s="10">
        <f>306452.1+210+785.7+254+251+524+568+548.2+576+1470+1470+1450</f>
        <v>314559</v>
      </c>
      <c r="G52" s="11">
        <f t="shared" si="2"/>
        <v>1000567.2</v>
      </c>
      <c r="H52" s="10">
        <v>4393.8</v>
      </c>
      <c r="I52" s="10">
        <v>8709.2999999999993</v>
      </c>
      <c r="J52" s="10">
        <v>17966.5</v>
      </c>
      <c r="K52" s="10">
        <v>18072.3</v>
      </c>
      <c r="L52" s="10">
        <f>9626.3+208.3</f>
        <v>9834.5999999999985</v>
      </c>
      <c r="M52" s="10">
        <v>6978</v>
      </c>
      <c r="N52" s="10">
        <v>12535.9</v>
      </c>
      <c r="O52" s="10">
        <f>21172+1161.1</f>
        <v>22333.1</v>
      </c>
      <c r="P52" s="11">
        <f t="shared" si="3"/>
        <v>100823.5</v>
      </c>
    </row>
    <row r="53" spans="2:16" ht="34.9" hidden="1" customHeight="1">
      <c r="B53" s="14">
        <v>39387</v>
      </c>
      <c r="C53" s="6">
        <v>228651.3</v>
      </c>
      <c r="D53" s="6">
        <v>35875.199999999997</v>
      </c>
      <c r="E53" s="6">
        <v>341441.3</v>
      </c>
      <c r="F53" s="6">
        <v>225372.2</v>
      </c>
      <c r="G53" s="7">
        <f t="shared" si="2"/>
        <v>831340</v>
      </c>
      <c r="H53" s="6">
        <v>3304.5</v>
      </c>
      <c r="I53" s="6">
        <v>10535.9</v>
      </c>
      <c r="J53" s="6">
        <v>15412.6</v>
      </c>
      <c r="K53" s="6">
        <v>28488.1</v>
      </c>
      <c r="L53" s="6">
        <v>25087.9</v>
      </c>
      <c r="M53" s="6">
        <v>3762.2</v>
      </c>
      <c r="N53" s="6">
        <v>11322</v>
      </c>
      <c r="O53" s="6">
        <f>34555.8+969.9</f>
        <v>35525.700000000004</v>
      </c>
      <c r="P53" s="7">
        <f t="shared" si="3"/>
        <v>133438.9</v>
      </c>
    </row>
    <row r="54" spans="2:16" ht="34.9" hidden="1" customHeight="1">
      <c r="B54" s="15">
        <v>39417</v>
      </c>
      <c r="C54" s="10">
        <v>187928.2</v>
      </c>
      <c r="D54" s="10">
        <v>21441.1</v>
      </c>
      <c r="E54" s="10">
        <v>157013.1</v>
      </c>
      <c r="F54" s="10">
        <v>140934.9</v>
      </c>
      <c r="G54" s="11">
        <f t="shared" si="2"/>
        <v>507317.30000000005</v>
      </c>
      <c r="H54" s="10">
        <v>3562.6</v>
      </c>
      <c r="I54" s="10">
        <v>3111.5</v>
      </c>
      <c r="J54" s="10">
        <v>20540.900000000001</v>
      </c>
      <c r="K54" s="10">
        <v>40023.9</v>
      </c>
      <c r="L54" s="10">
        <v>55404.9</v>
      </c>
      <c r="M54" s="10">
        <v>6954.2</v>
      </c>
      <c r="N54" s="10">
        <v>112572.7</v>
      </c>
      <c r="O54" s="10">
        <v>14528.5</v>
      </c>
      <c r="P54" s="11">
        <f t="shared" si="3"/>
        <v>256699.19999999998</v>
      </c>
    </row>
    <row r="55" spans="2:16" ht="34.9" hidden="1" customHeight="1">
      <c r="B55" s="3">
        <v>2008</v>
      </c>
      <c r="C55" s="12"/>
      <c r="D55" s="12"/>
      <c r="E55" s="12"/>
      <c r="F55" s="12"/>
      <c r="G55" s="13"/>
      <c r="H55" s="12"/>
      <c r="I55" s="12"/>
      <c r="J55" s="12"/>
      <c r="K55" s="12"/>
      <c r="L55" s="12"/>
      <c r="M55" s="12"/>
      <c r="N55" s="12"/>
      <c r="O55" s="12"/>
      <c r="P55" s="13"/>
    </row>
    <row r="56" spans="2:16" ht="34.9" hidden="1" customHeight="1">
      <c r="B56" s="14">
        <v>39448</v>
      </c>
      <c r="C56" s="6">
        <f>317342.6+618.4+3240+606+17.1</f>
        <v>321824.09999999998</v>
      </c>
      <c r="D56" s="6">
        <v>23532.3</v>
      </c>
      <c r="E56" s="6">
        <f>190532.6+584+4350+594+936+1960+6075+2025+220.9+768.7+1890+2160+1290.6+0.9</f>
        <v>213387.7</v>
      </c>
      <c r="F56" s="6">
        <f>177899.9+423.3+348.6+1155+577.5+364.5+250+2856+208.8+232+249.8+249.8+234+236+236+650.7</f>
        <v>186171.89999999997</v>
      </c>
      <c r="G56" s="7">
        <f t="shared" ref="G56:G67" si="4">SUM(C56:F56)</f>
        <v>744916</v>
      </c>
      <c r="H56" s="6">
        <v>9030</v>
      </c>
      <c r="I56" s="6">
        <v>18943.900000000001</v>
      </c>
      <c r="J56" s="6">
        <f>8654.8+207.2+207.2+201.6+480</f>
        <v>9750.8000000000011</v>
      </c>
      <c r="K56" s="6">
        <v>24388.400000000001</v>
      </c>
      <c r="L56" s="6">
        <f>96347.3+5250</f>
        <v>101597.3</v>
      </c>
      <c r="M56" s="6">
        <v>11666.1</v>
      </c>
      <c r="N56" s="6">
        <f>251291.9+1997.5</f>
        <v>253289.4</v>
      </c>
      <c r="O56" s="6">
        <f>19765.4+250+500+250+250+250</f>
        <v>21265.4</v>
      </c>
      <c r="P56" s="7">
        <f t="shared" ref="P56:P67" si="5">SUM(H56:O56)</f>
        <v>449931.30000000005</v>
      </c>
    </row>
    <row r="57" spans="2:16" ht="34.9" hidden="1" customHeight="1">
      <c r="B57" s="15">
        <v>39479</v>
      </c>
      <c r="C57" s="10">
        <v>137272.70000000001</v>
      </c>
      <c r="D57" s="10">
        <v>27493.5</v>
      </c>
      <c r="E57" s="10">
        <v>153937</v>
      </c>
      <c r="F57" s="10">
        <v>264711.59999999998</v>
      </c>
      <c r="G57" s="11">
        <f t="shared" si="4"/>
        <v>583414.80000000005</v>
      </c>
      <c r="H57" s="10">
        <v>13532.4</v>
      </c>
      <c r="I57" s="10">
        <v>44330.7</v>
      </c>
      <c r="J57" s="10">
        <v>15963.2</v>
      </c>
      <c r="K57" s="10">
        <v>16053.3</v>
      </c>
      <c r="L57" s="10">
        <v>42865.7</v>
      </c>
      <c r="M57" s="10">
        <v>2094.9</v>
      </c>
      <c r="N57" s="10">
        <v>238887.9</v>
      </c>
      <c r="O57" s="10">
        <v>16905.3</v>
      </c>
      <c r="P57" s="11">
        <f t="shared" si="5"/>
        <v>390633.39999999997</v>
      </c>
    </row>
    <row r="58" spans="2:16" ht="34.9" hidden="1" customHeight="1">
      <c r="B58" s="14">
        <v>39508</v>
      </c>
      <c r="C58" s="6">
        <f>193391.9+4680+2400+227.5+1085.7+1245.3</f>
        <v>203030.39999999999</v>
      </c>
      <c r="D58" s="6">
        <v>20410</v>
      </c>
      <c r="E58" s="6">
        <v>199502.7</v>
      </c>
      <c r="F58" s="6">
        <v>324756.90000000002</v>
      </c>
      <c r="G58" s="7">
        <f t="shared" si="4"/>
        <v>747700</v>
      </c>
      <c r="H58" s="6">
        <v>15492.9</v>
      </c>
      <c r="I58" s="6">
        <f>11126.1+675.5+579</f>
        <v>12380.6</v>
      </c>
      <c r="J58" s="6">
        <v>13836.3</v>
      </c>
      <c r="K58" s="6">
        <v>167602.6</v>
      </c>
      <c r="L58" s="6">
        <f>80905.2+1890</f>
        <v>82795.199999999997</v>
      </c>
      <c r="M58" s="6">
        <v>1873.6</v>
      </c>
      <c r="N58" s="6">
        <f>482534.9+303.2</f>
        <v>482838.10000000003</v>
      </c>
      <c r="O58" s="6">
        <v>15471.7</v>
      </c>
      <c r="P58" s="7">
        <f t="shared" si="5"/>
        <v>792291</v>
      </c>
    </row>
    <row r="59" spans="2:16" ht="34.9" hidden="1" customHeight="1">
      <c r="B59" s="15">
        <v>39539</v>
      </c>
      <c r="C59" s="10">
        <v>138718.9</v>
      </c>
      <c r="D59" s="10">
        <v>32804</v>
      </c>
      <c r="E59" s="10">
        <v>194820.8</v>
      </c>
      <c r="F59" s="10">
        <v>389928.6</v>
      </c>
      <c r="G59" s="11">
        <f t="shared" si="4"/>
        <v>756272.29999999993</v>
      </c>
      <c r="H59" s="10">
        <v>13283.7</v>
      </c>
      <c r="I59" s="10">
        <v>2705</v>
      </c>
      <c r="J59" s="10">
        <v>7122.8</v>
      </c>
      <c r="K59" s="10">
        <f>144029.5+676.2</f>
        <v>144705.70000000001</v>
      </c>
      <c r="L59" s="10">
        <f>54917.7+455</f>
        <v>55372.7</v>
      </c>
      <c r="M59" s="10">
        <v>986</v>
      </c>
      <c r="N59" s="10">
        <f>553315.8+630+315</f>
        <v>554260.80000000005</v>
      </c>
      <c r="O59" s="10">
        <f>26881.3+707.4</f>
        <v>27588.7</v>
      </c>
      <c r="P59" s="11">
        <f t="shared" si="5"/>
        <v>806025.4</v>
      </c>
    </row>
    <row r="60" spans="2:16" ht="34.9" hidden="1" customHeight="1">
      <c r="B60" s="14">
        <v>39569</v>
      </c>
      <c r="C60" s="6">
        <f>185362.127+3040+334.562</f>
        <v>188736.68900000001</v>
      </c>
      <c r="D60" s="6">
        <v>60023.4</v>
      </c>
      <c r="E60" s="6">
        <f>220419.506+2562.3+959.4+236+531.3+508.2+582.5+745.6+371.49+353.5+387.75+787.25+354</f>
        <v>228798.79599999997</v>
      </c>
      <c r="F60" s="6">
        <f>374193.718+2995.5+3200+817.5+1144.5+1379+1379+989+4935+679.528+3037.5+1350+1350+424.6+200.2+320+300+700+200.4+276.75+545</f>
        <v>400417.196</v>
      </c>
      <c r="G60" s="7">
        <f t="shared" si="4"/>
        <v>877976.08100000001</v>
      </c>
      <c r="H60" s="6">
        <f>15570.695+207.5</f>
        <v>15778.195</v>
      </c>
      <c r="I60" s="6">
        <v>2760.4940000000001</v>
      </c>
      <c r="J60" s="6">
        <f>7159.048+202.5</f>
        <v>7361.5479999999998</v>
      </c>
      <c r="K60" s="6">
        <v>43225.273000000001</v>
      </c>
      <c r="L60" s="6">
        <f>107135.282+492.5+674.5</f>
        <v>108302.28200000001</v>
      </c>
      <c r="M60" s="6">
        <v>1221.7090000000001</v>
      </c>
      <c r="N60" s="6">
        <f>471663.904+1054.5+355</f>
        <v>473073.40399999998</v>
      </c>
      <c r="O60" s="6">
        <f>42397.705+291+208.6</f>
        <v>42897.305</v>
      </c>
      <c r="P60" s="7">
        <f t="shared" si="5"/>
        <v>694620.21000000008</v>
      </c>
    </row>
    <row r="61" spans="2:16" ht="34.9" hidden="1" customHeight="1">
      <c r="B61" s="15">
        <v>39600</v>
      </c>
      <c r="C61" s="10">
        <v>495140.4</v>
      </c>
      <c r="D61" s="10">
        <v>84571.7</v>
      </c>
      <c r="E61" s="10">
        <v>467800.6</v>
      </c>
      <c r="F61" s="10">
        <v>631369.6</v>
      </c>
      <c r="G61" s="11">
        <f t="shared" si="4"/>
        <v>1678882.2999999998</v>
      </c>
      <c r="H61" s="10">
        <v>14076.8</v>
      </c>
      <c r="I61" s="10">
        <v>8016.3</v>
      </c>
      <c r="J61" s="10">
        <v>23095.1</v>
      </c>
      <c r="K61" s="10">
        <v>115845</v>
      </c>
      <c r="L61" s="10">
        <v>76121.3</v>
      </c>
      <c r="M61" s="10">
        <v>3098.8</v>
      </c>
      <c r="N61" s="10">
        <v>599262</v>
      </c>
      <c r="O61" s="10">
        <v>105589</v>
      </c>
      <c r="P61" s="11">
        <f t="shared" si="5"/>
        <v>945104.3</v>
      </c>
    </row>
    <row r="62" spans="2:16" ht="34.9" hidden="1" customHeight="1">
      <c r="B62" s="14">
        <v>39630</v>
      </c>
      <c r="C62" s="6">
        <v>719746.2</v>
      </c>
      <c r="D62" s="6">
        <v>73096.5</v>
      </c>
      <c r="E62" s="6">
        <v>274568.40000000002</v>
      </c>
      <c r="F62" s="6">
        <v>343832.3</v>
      </c>
      <c r="G62" s="7">
        <f t="shared" si="4"/>
        <v>1411243.4000000001</v>
      </c>
      <c r="H62" s="6">
        <v>13171.8</v>
      </c>
      <c r="I62" s="6">
        <v>6639.5</v>
      </c>
      <c r="J62" s="6">
        <v>20998.3</v>
      </c>
      <c r="K62" s="6">
        <v>38766.800000000003</v>
      </c>
      <c r="L62" s="6">
        <v>23470.400000000001</v>
      </c>
      <c r="M62" s="6">
        <v>2822.3</v>
      </c>
      <c r="N62" s="6">
        <v>379803.3</v>
      </c>
      <c r="O62" s="6">
        <v>85436.2</v>
      </c>
      <c r="P62" s="7">
        <f t="shared" si="5"/>
        <v>571108.6</v>
      </c>
    </row>
    <row r="63" spans="2:16" ht="34.9" hidden="1" customHeight="1">
      <c r="B63" s="15">
        <v>39661</v>
      </c>
      <c r="C63" s="10">
        <f>212935.963+1111.95+16500</f>
        <v>230547.913</v>
      </c>
      <c r="D63" s="10">
        <f>67427.047</f>
        <v>67427.047000000006</v>
      </c>
      <c r="E63" s="10">
        <f>216253.21+505.25+940+1237.5+615</f>
        <v>219550.96</v>
      </c>
      <c r="F63" s="10">
        <f>302562.347+501.2+1120+560+1100.35+1120+500.52+832+975+716.1+651.95+501+1225.2+624+1008+1100+545.4</f>
        <v>315643.06700000004</v>
      </c>
      <c r="G63" s="11">
        <f t="shared" si="4"/>
        <v>833168.98700000008</v>
      </c>
      <c r="H63" s="10">
        <v>4616.982</v>
      </c>
      <c r="I63" s="10">
        <v>2632.6439999999998</v>
      </c>
      <c r="J63" s="10">
        <v>17216.677</v>
      </c>
      <c r="K63" s="10">
        <f>35067.702+1028.139+1757.493+1131.858+2272.675</f>
        <v>41257.867000000006</v>
      </c>
      <c r="L63" s="10">
        <v>11641.592000000001</v>
      </c>
      <c r="M63" s="10">
        <v>949.79700000000003</v>
      </c>
      <c r="N63" s="10">
        <v>118823.761</v>
      </c>
      <c r="O63" s="10">
        <f>30609.023+16831.816+12563.235+14352.03+14352.03+2711.252</f>
        <v>91419.385999999999</v>
      </c>
      <c r="P63" s="11">
        <f t="shared" si="5"/>
        <v>288558.70600000001</v>
      </c>
    </row>
    <row r="64" spans="2:16" ht="34.9" hidden="1" customHeight="1">
      <c r="B64" s="14">
        <v>39692</v>
      </c>
      <c r="C64" s="6">
        <f>163877.728+687.498+2386.8+510</f>
        <v>167462.02599999998</v>
      </c>
      <c r="D64" s="6">
        <f>39699.3+547.5+0.2</f>
        <v>40247</v>
      </c>
      <c r="E64" s="6">
        <f>133860.3+1346.85+600+955.5+1690+1548+6550+1140</f>
        <v>147690.65</v>
      </c>
      <c r="F64" s="6">
        <f>211743.224+1413.75+765.6+666+528+972</f>
        <v>216088.57399999999</v>
      </c>
      <c r="G64" s="7">
        <f t="shared" si="4"/>
        <v>571488.25</v>
      </c>
      <c r="H64" s="6">
        <v>3348.5320000000002</v>
      </c>
      <c r="I64" s="6">
        <v>1818.078</v>
      </c>
      <c r="J64" s="6">
        <v>11746.620999999999</v>
      </c>
      <c r="K64" s="6">
        <v>18543.933000000001</v>
      </c>
      <c r="L64" s="6">
        <v>11606.669</v>
      </c>
      <c r="M64" s="6">
        <v>754.77499999999998</v>
      </c>
      <c r="N64" s="6">
        <f>96376.281+548.444+700+519.761</f>
        <v>98144.486000000004</v>
      </c>
      <c r="O64" s="6">
        <v>17706.626</v>
      </c>
      <c r="P64" s="7">
        <f t="shared" si="5"/>
        <v>163669.72</v>
      </c>
    </row>
    <row r="65" spans="2:16" ht="34.9" hidden="1" customHeight="1">
      <c r="B65" s="15">
        <v>39722</v>
      </c>
      <c r="C65" s="10">
        <f>219898.597+54450+4160</f>
        <v>278508.59700000001</v>
      </c>
      <c r="D65" s="10">
        <v>17498.557000000001</v>
      </c>
      <c r="E65" s="10">
        <f>96101.67+1147.404</f>
        <v>97249.073999999993</v>
      </c>
      <c r="F65" s="10">
        <f>146836.483+709.958</f>
        <v>147546.44100000002</v>
      </c>
      <c r="G65" s="11">
        <f t="shared" si="4"/>
        <v>540802.66899999999</v>
      </c>
      <c r="H65" s="10">
        <v>1419.248</v>
      </c>
      <c r="I65" s="10">
        <v>3951.223</v>
      </c>
      <c r="J65" s="10">
        <v>3186.6860000000001</v>
      </c>
      <c r="K65" s="10">
        <f>17161.093+544.5+575.773</f>
        <v>18281.366000000002</v>
      </c>
      <c r="L65" s="10">
        <v>11180.821</v>
      </c>
      <c r="M65" s="10">
        <v>1370.2639999999999</v>
      </c>
      <c r="N65" s="10">
        <f>45856.541+522+535.468+652.5</f>
        <v>47566.508999999998</v>
      </c>
      <c r="O65" s="10">
        <f>14976.731+780+5.492</f>
        <v>15762.223</v>
      </c>
      <c r="P65" s="11">
        <f t="shared" si="5"/>
        <v>102718.34</v>
      </c>
    </row>
    <row r="66" spans="2:16" ht="34.9" hidden="1" customHeight="1">
      <c r="B66" s="14">
        <v>39753</v>
      </c>
      <c r="C66" s="6">
        <f>136571.194+942.511+4208+877.676+2583.158+742.5+3243.877+1309.8+49874.928+17030.066</f>
        <v>217383.70999999996</v>
      </c>
      <c r="D66" s="6">
        <f>43516.978+632.14</f>
        <v>44149.118000000002</v>
      </c>
      <c r="E66" s="6">
        <f>99280.663+553.86+800</f>
        <v>100634.523</v>
      </c>
      <c r="F66" s="6">
        <f>221303.846+1497+983.03+1222.55+815+509</f>
        <v>226330.42599999998</v>
      </c>
      <c r="G66" s="7">
        <f t="shared" si="4"/>
        <v>588497.777</v>
      </c>
      <c r="H66" s="6">
        <v>946.49099999999999</v>
      </c>
      <c r="I66" s="6">
        <v>3880.4070000000002</v>
      </c>
      <c r="J66" s="6">
        <v>3786.6959999999999</v>
      </c>
      <c r="K66" s="6">
        <v>11833.361999999999</v>
      </c>
      <c r="L66" s="6">
        <v>11473.050999999999</v>
      </c>
      <c r="M66" s="6">
        <v>985.24699999999996</v>
      </c>
      <c r="N66" s="6">
        <v>57544.889000000003</v>
      </c>
      <c r="O66" s="6">
        <v>27241.8</v>
      </c>
      <c r="P66" s="7">
        <f t="shared" si="5"/>
        <v>117691.94300000001</v>
      </c>
    </row>
    <row r="67" spans="2:16" ht="34.9" hidden="1" customHeight="1">
      <c r="B67" s="15">
        <v>39783</v>
      </c>
      <c r="C67" s="10">
        <v>131301.9</v>
      </c>
      <c r="D67" s="10">
        <v>11045.8</v>
      </c>
      <c r="E67" s="10">
        <v>57654.7</v>
      </c>
      <c r="F67" s="10">
        <v>104571.8</v>
      </c>
      <c r="G67" s="11">
        <f t="shared" si="4"/>
        <v>304574.19999999995</v>
      </c>
      <c r="H67" s="10">
        <v>1645.5</v>
      </c>
      <c r="I67" s="10">
        <v>1783</v>
      </c>
      <c r="J67" s="10">
        <v>6391.6</v>
      </c>
      <c r="K67" s="10">
        <f>8201.2+564</f>
        <v>8765.2000000000007</v>
      </c>
      <c r="L67" s="10">
        <v>4611.5</v>
      </c>
      <c r="M67" s="10">
        <v>942.4</v>
      </c>
      <c r="N67" s="10">
        <v>56208.5</v>
      </c>
      <c r="O67" s="10">
        <f>18876.2+665.1</f>
        <v>19541.3</v>
      </c>
      <c r="P67" s="11">
        <f t="shared" si="5"/>
        <v>99889.000000000015</v>
      </c>
    </row>
    <row r="68" spans="2:16" ht="34.9" hidden="1" customHeight="1">
      <c r="B68" s="3">
        <v>2009</v>
      </c>
      <c r="C68" s="12"/>
      <c r="D68" s="12"/>
      <c r="E68" s="12"/>
      <c r="F68" s="12"/>
      <c r="G68" s="13"/>
      <c r="H68" s="12"/>
      <c r="I68" s="12"/>
      <c r="J68" s="12"/>
      <c r="K68" s="12"/>
      <c r="L68" s="12"/>
      <c r="M68" s="12"/>
      <c r="N68" s="12"/>
      <c r="O68" s="12"/>
      <c r="P68" s="13"/>
    </row>
    <row r="69" spans="2:16" ht="34.9" hidden="1" customHeight="1">
      <c r="B69" s="14">
        <v>39814</v>
      </c>
      <c r="C69" s="6">
        <f>80747.1+675+1325.1</f>
        <v>82747.200000000012</v>
      </c>
      <c r="D69" s="6">
        <v>42098.8</v>
      </c>
      <c r="E69" s="6">
        <v>62561.599999999999</v>
      </c>
      <c r="F69" s="6">
        <f>219331.1+880+1428</f>
        <v>221639.1</v>
      </c>
      <c r="G69" s="7">
        <f t="shared" ref="G69:G80" si="6">SUM(C69:F69)</f>
        <v>409046.7</v>
      </c>
      <c r="H69" s="6">
        <v>670.7</v>
      </c>
      <c r="I69" s="6">
        <v>677.3</v>
      </c>
      <c r="J69" s="6">
        <f>3870.5+3089.2+3110.5</f>
        <v>10070.200000000001</v>
      </c>
      <c r="K69" s="6">
        <f>16916.1+806</f>
        <v>17722.099999999999</v>
      </c>
      <c r="L69" s="6">
        <f>4661.6+945.3</f>
        <v>5606.9000000000005</v>
      </c>
      <c r="M69" s="6">
        <v>497.3</v>
      </c>
      <c r="N69" s="6">
        <v>28080</v>
      </c>
      <c r="O69" s="6">
        <f>30469.8+888</f>
        <v>31357.8</v>
      </c>
      <c r="P69" s="7">
        <f t="shared" ref="P69:P80" si="7">SUM(H69:O69)</f>
        <v>94682.3</v>
      </c>
    </row>
    <row r="70" spans="2:16" ht="34.9" hidden="1" customHeight="1">
      <c r="B70" s="15">
        <v>39845</v>
      </c>
      <c r="C70" s="10">
        <v>140878.9</v>
      </c>
      <c r="D70" s="10">
        <f>1285.7+77467.8</f>
        <v>78753.5</v>
      </c>
      <c r="E70" s="10">
        <f>1313.3+7140+4972.5+1899.8+7240.74+969+650.3+1326+828.7+2945.3+2945.3+2205.8+4620+754.6+2945.3+739.3+939.4+2570.3+3232.7+2772+1339.8+1339.8+893.2+998.9+986.8+831+783.1+770+669.2+648.3+500.5+529.6+127193.6</f>
        <v>190494.14</v>
      </c>
      <c r="F70" s="10">
        <f>572+657.7+600.5+1188+365644.95</f>
        <v>368663.15</v>
      </c>
      <c r="G70" s="11">
        <f t="shared" si="6"/>
        <v>778789.69000000006</v>
      </c>
      <c r="H70" s="10">
        <v>1435.45</v>
      </c>
      <c r="I70" s="10">
        <f>2101.77+525+525+2131.02</f>
        <v>5282.79</v>
      </c>
      <c r="J70" s="10">
        <v>10664.25</v>
      </c>
      <c r="K70" s="10">
        <v>19081.82</v>
      </c>
      <c r="L70" s="10">
        <v>8296.1</v>
      </c>
      <c r="M70" s="10">
        <v>922.6</v>
      </c>
      <c r="N70" s="10">
        <v>17744.060000000001</v>
      </c>
      <c r="O70" s="10">
        <v>37699.75</v>
      </c>
      <c r="P70" s="11">
        <f t="shared" si="7"/>
        <v>101126.81999999999</v>
      </c>
    </row>
    <row r="71" spans="2:16" ht="34.9" hidden="1" customHeight="1">
      <c r="B71" s="14">
        <v>39873</v>
      </c>
      <c r="C71" s="6">
        <v>56011.29</v>
      </c>
      <c r="D71" s="6">
        <f>98055.47+3880</f>
        <v>101935.47</v>
      </c>
      <c r="E71" s="6">
        <f>179442.86+501.76</f>
        <v>179944.62</v>
      </c>
      <c r="F71" s="6">
        <f>503+504582.15</f>
        <v>505085.15</v>
      </c>
      <c r="G71" s="7">
        <f t="shared" si="6"/>
        <v>842976.53</v>
      </c>
      <c r="H71" s="6">
        <v>2192.0100000000002</v>
      </c>
      <c r="I71" s="6">
        <v>4540.32</v>
      </c>
      <c r="J71" s="6">
        <v>23158.47</v>
      </c>
      <c r="K71" s="6">
        <f>16086.19+500.85</f>
        <v>16587.04</v>
      </c>
      <c r="L71" s="6">
        <v>7158.22</v>
      </c>
      <c r="M71" s="6">
        <v>256.95999999999998</v>
      </c>
      <c r="N71" s="6">
        <v>56735.88</v>
      </c>
      <c r="O71" s="6">
        <v>94172.75</v>
      </c>
      <c r="P71" s="7">
        <f t="shared" si="7"/>
        <v>204801.65</v>
      </c>
    </row>
    <row r="72" spans="2:16" ht="34.9" hidden="1" customHeight="1">
      <c r="B72" s="15">
        <v>39904</v>
      </c>
      <c r="C72" s="10">
        <f>57371.7+19500+1006.4+2475</f>
        <v>80353.099999999991</v>
      </c>
      <c r="D72" s="10">
        <f>35757.7+1403</f>
        <v>37160.699999999997</v>
      </c>
      <c r="E72" s="10">
        <f>334561.9+815+518+603+733.5+550</f>
        <v>337781.4</v>
      </c>
      <c r="F72" s="10">
        <f>346905.6+1204+864+1296.1+990+602</f>
        <v>351861.69999999995</v>
      </c>
      <c r="G72" s="11">
        <f t="shared" si="6"/>
        <v>807156.89999999991</v>
      </c>
      <c r="H72" s="10">
        <v>582.1</v>
      </c>
      <c r="I72" s="10">
        <v>2365.9</v>
      </c>
      <c r="J72" s="10">
        <f>26428.8+560+545</f>
        <v>27533.8</v>
      </c>
      <c r="K72" s="10">
        <f>32404.3+503.2</f>
        <v>32907.5</v>
      </c>
      <c r="L72" s="10">
        <f>14678.2+2028.51</f>
        <v>16706.71</v>
      </c>
      <c r="M72" s="10">
        <v>525.79999999999995</v>
      </c>
      <c r="N72" s="10">
        <f>79274.7+14956.8</f>
        <v>94231.5</v>
      </c>
      <c r="O72" s="10">
        <v>75850.399999999994</v>
      </c>
      <c r="P72" s="11">
        <f t="shared" si="7"/>
        <v>250703.71</v>
      </c>
    </row>
    <row r="73" spans="2:16" ht="34.9" hidden="1" customHeight="1">
      <c r="B73" s="14">
        <v>39934</v>
      </c>
      <c r="C73" s="6">
        <f>82165.6+595+2100+1006.4+3187.1</f>
        <v>89054.1</v>
      </c>
      <c r="D73" s="6">
        <v>80259.100000000006</v>
      </c>
      <c r="E73" s="6">
        <f>315360.7+512</f>
        <v>315872.7</v>
      </c>
      <c r="F73" s="6">
        <f>2727+600+554+2727+1054.4+313746.1</f>
        <v>321408.5</v>
      </c>
      <c r="G73" s="7">
        <f t="shared" si="6"/>
        <v>806594.4</v>
      </c>
      <c r="H73" s="6">
        <v>326.8</v>
      </c>
      <c r="I73" s="6">
        <v>369.6</v>
      </c>
      <c r="J73" s="6">
        <v>10863.5</v>
      </c>
      <c r="K73" s="6">
        <f>26713.7+1618.5+1618.5+1618.5+1618.5+1618.5</f>
        <v>34806.199999999997</v>
      </c>
      <c r="L73" s="6">
        <v>4777.1000000000004</v>
      </c>
      <c r="M73" s="6">
        <v>704.2</v>
      </c>
      <c r="N73" s="6">
        <v>63646</v>
      </c>
      <c r="O73" s="6">
        <v>60965.7</v>
      </c>
      <c r="P73" s="7">
        <f t="shared" si="7"/>
        <v>176459.09999999998</v>
      </c>
    </row>
    <row r="74" spans="2:16" ht="34.9" hidden="1" customHeight="1">
      <c r="B74" s="15">
        <v>39965</v>
      </c>
      <c r="C74" s="10">
        <f>102726.9</f>
        <v>102726.9</v>
      </c>
      <c r="D74" s="10">
        <f>48379.6+974.3</f>
        <v>49353.9</v>
      </c>
      <c r="E74" s="10">
        <f>183038.3+504+582+635</f>
        <v>184759.3</v>
      </c>
      <c r="F74" s="10">
        <f>228707.4+1080+1006+555+555+508.8</f>
        <v>232412.19999999998</v>
      </c>
      <c r="G74" s="11">
        <f t="shared" si="6"/>
        <v>569252.29999999993</v>
      </c>
      <c r="H74" s="10">
        <v>570.4</v>
      </c>
      <c r="I74" s="10">
        <f>320</f>
        <v>320</v>
      </c>
      <c r="J74" s="10">
        <f>8907</f>
        <v>8907</v>
      </c>
      <c r="K74" s="10">
        <f>21339.1</f>
        <v>21339.1</v>
      </c>
      <c r="L74" s="10">
        <f>6357.1+24.1</f>
        <v>6381.2000000000007</v>
      </c>
      <c r="M74" s="10">
        <f>573.6</f>
        <v>573.6</v>
      </c>
      <c r="N74" s="10">
        <v>81784.3</v>
      </c>
      <c r="O74" s="10">
        <f>92288.9+2300+545.331</f>
        <v>95134.231</v>
      </c>
      <c r="P74" s="11">
        <f t="shared" si="7"/>
        <v>215009.83100000001</v>
      </c>
    </row>
    <row r="75" spans="2:16" ht="34.9" hidden="1" customHeight="1">
      <c r="B75" s="14">
        <v>39995</v>
      </c>
      <c r="C75" s="6">
        <v>68171.987999999998</v>
      </c>
      <c r="D75" s="6">
        <f>17910.2+547.2+505.3</f>
        <v>18962.7</v>
      </c>
      <c r="E75" s="6">
        <f>114328.7+812</f>
        <v>115140.7</v>
      </c>
      <c r="F75" s="6">
        <f>119521.953+536.25+1170+2917.19</f>
        <v>124145.393</v>
      </c>
      <c r="G75" s="7">
        <f t="shared" si="6"/>
        <v>326420.78099999996</v>
      </c>
      <c r="H75" s="6">
        <v>675.83900000000006</v>
      </c>
      <c r="I75" s="6">
        <v>418.4</v>
      </c>
      <c r="J75" s="6">
        <v>9901.9</v>
      </c>
      <c r="K75" s="6">
        <f>17320.3+1560+972.4+3678.4+1285.9</f>
        <v>24817.000000000004</v>
      </c>
      <c r="L75" s="6">
        <f>4392.4+900+989.572</f>
        <v>6281.9719999999998</v>
      </c>
      <c r="M75" s="6">
        <v>263.3</v>
      </c>
      <c r="N75" s="6">
        <f>30339.6+6848.6</f>
        <v>37188.199999999997</v>
      </c>
      <c r="O75" s="6">
        <f>53780.1+699.66</f>
        <v>54479.76</v>
      </c>
      <c r="P75" s="7">
        <f t="shared" si="7"/>
        <v>134026.37100000001</v>
      </c>
    </row>
    <row r="76" spans="2:16" ht="34.9" hidden="1" customHeight="1">
      <c r="B76" s="15">
        <v>40026</v>
      </c>
      <c r="C76" s="10">
        <f>38473.2+5234.2+1795.8+7580.6+2408.2+3263.9+11946</f>
        <v>70701.899999999994</v>
      </c>
      <c r="D76" s="10">
        <v>7532.6</v>
      </c>
      <c r="E76" s="10">
        <f>69468.8+11527.4+700+700+700+700+2025</f>
        <v>85821.2</v>
      </c>
      <c r="F76" s="10">
        <f>112734.9+591.4+1107.6+1010.5</f>
        <v>115444.4</v>
      </c>
      <c r="G76" s="11">
        <f t="shared" si="6"/>
        <v>279500.09999999998</v>
      </c>
      <c r="H76" s="10">
        <v>398.1</v>
      </c>
      <c r="I76" s="10">
        <v>1643.2</v>
      </c>
      <c r="J76" s="10">
        <v>16432.400000000001</v>
      </c>
      <c r="K76" s="10">
        <v>12754</v>
      </c>
      <c r="L76" s="10">
        <v>3506.8</v>
      </c>
      <c r="M76" s="10">
        <v>220.2</v>
      </c>
      <c r="N76" s="10">
        <v>20115.400000000001</v>
      </c>
      <c r="O76" s="10">
        <f>52371.3+695.5+550+666.6+848.4+1056+615+1020+530+902.9+606+505+507.5+507+1015+1100+500+500+639+630</f>
        <v>65765.200000000012</v>
      </c>
      <c r="P76" s="11">
        <f t="shared" si="7"/>
        <v>120835.30000000002</v>
      </c>
    </row>
    <row r="77" spans="2:16" ht="34.9" hidden="1" customHeight="1">
      <c r="B77" s="14">
        <v>40057</v>
      </c>
      <c r="C77" s="6">
        <f>52553.1+660+660</f>
        <v>53873.1</v>
      </c>
      <c r="D77" s="6">
        <v>10731.3</v>
      </c>
      <c r="E77" s="6">
        <f>159633.3+1305.7+660+660+1000+717.4+1300</f>
        <v>165276.4</v>
      </c>
      <c r="F77" s="6">
        <f>226636.8+956.6</f>
        <v>227593.4</v>
      </c>
      <c r="G77" s="7">
        <f t="shared" si="6"/>
        <v>457474.19999999995</v>
      </c>
      <c r="H77" s="6">
        <v>203.1</v>
      </c>
      <c r="I77" s="6">
        <v>130.69999999999999</v>
      </c>
      <c r="J77" s="6">
        <v>18642.3</v>
      </c>
      <c r="K77" s="6">
        <v>58468.3</v>
      </c>
      <c r="L77" s="6">
        <v>2511.8000000000002</v>
      </c>
      <c r="M77" s="6">
        <v>278.8</v>
      </c>
      <c r="N77" s="6">
        <v>21250.799999999999</v>
      </c>
      <c r="O77" s="6">
        <f>75693.4+1905+500+500+1030+1650+1597.5+955.5+995+560+724.5+504+924.5+1082.4+107</f>
        <v>88728.799999999988</v>
      </c>
      <c r="P77" s="7">
        <f t="shared" si="7"/>
        <v>190214.59999999998</v>
      </c>
    </row>
    <row r="78" spans="2:16" ht="34.9" hidden="1" customHeight="1">
      <c r="B78" s="15">
        <v>40087</v>
      </c>
      <c r="C78" s="10">
        <f>69838.15+46572.18</f>
        <v>116410.32999999999</v>
      </c>
      <c r="D78" s="10">
        <v>10201.5</v>
      </c>
      <c r="E78" s="10">
        <f>119477.3+2495.5+1420+700+805+861</f>
        <v>125758.8</v>
      </c>
      <c r="F78" s="10">
        <f>184843.4+855+600+840+500+1340+1750+690+732+648</f>
        <v>192798.4</v>
      </c>
      <c r="G78" s="11">
        <f t="shared" si="6"/>
        <v>445169.03</v>
      </c>
      <c r="H78" s="10">
        <v>3119.55</v>
      </c>
      <c r="I78" s="10">
        <v>189.5</v>
      </c>
      <c r="J78" s="10">
        <f>9047.96+16</f>
        <v>9063.9599999999991</v>
      </c>
      <c r="K78" s="10">
        <f>57838.57+612</f>
        <v>58450.57</v>
      </c>
      <c r="L78" s="10">
        <v>4468.1000000000004</v>
      </c>
      <c r="M78" s="10">
        <v>263.39999999999998</v>
      </c>
      <c r="N78" s="10">
        <v>12670.9</v>
      </c>
      <c r="O78" s="10">
        <f>68217.4+998.75+720+500+2320+1392+928+524+1355+945+500.5+500.5+589.6+804+1692.9+518.7+866.58+1345</f>
        <v>84717.93</v>
      </c>
      <c r="P78" s="11">
        <f t="shared" si="7"/>
        <v>172943.90999999997</v>
      </c>
    </row>
    <row r="79" spans="2:16" ht="34.9" hidden="1" customHeight="1">
      <c r="B79" s="14">
        <v>40118</v>
      </c>
      <c r="C79" s="6">
        <f>33638.2+600+500+500</f>
        <v>35238.199999999997</v>
      </c>
      <c r="D79" s="6">
        <f>9560.7</f>
        <v>9560.7000000000007</v>
      </c>
      <c r="E79" s="6">
        <f>86367.4+683.1+799.5+595+950+950</f>
        <v>90345</v>
      </c>
      <c r="F79" s="6">
        <f>107419.2+579.5+884+1503.8+504+550+1110+504+579.5</f>
        <v>113634</v>
      </c>
      <c r="G79" s="7">
        <f t="shared" si="6"/>
        <v>248777.9</v>
      </c>
      <c r="H79" s="6">
        <f>3792.9</f>
        <v>3792.9</v>
      </c>
      <c r="I79" s="6">
        <f>1073.4</f>
        <v>1073.4000000000001</v>
      </c>
      <c r="J79" s="6">
        <f>6862.8+75.8</f>
        <v>6938.6</v>
      </c>
      <c r="K79" s="6">
        <f>42547.1</f>
        <v>42547.1</v>
      </c>
      <c r="L79" s="6">
        <v>2477.3000000000002</v>
      </c>
      <c r="M79" s="6">
        <v>343.1</v>
      </c>
      <c r="N79" s="6">
        <v>10474.799999999999</v>
      </c>
      <c r="O79" s="6">
        <f>37981.9+1300+1170+27300+1504+1021.5+2043+1452.8+567.5+1021.5+540+540+993.6+540+1017+565+565+1096.1+1549.5+1165+840+622.5+1260+622.5+610+762.5+1984+999+521.7+1032+1152.8+1152.8+1048+1493.5+504.7</f>
        <v>98539.400000000009</v>
      </c>
      <c r="P79" s="7">
        <f t="shared" si="7"/>
        <v>166186.6</v>
      </c>
    </row>
    <row r="80" spans="2:16" ht="34.9" hidden="1" customHeight="1">
      <c r="B80" s="15">
        <v>40148</v>
      </c>
      <c r="C80" s="10">
        <v>51291.7</v>
      </c>
      <c r="D80" s="10">
        <v>17446.8</v>
      </c>
      <c r="E80" s="10">
        <v>141772.1</v>
      </c>
      <c r="F80" s="10">
        <v>163043.1</v>
      </c>
      <c r="G80" s="11">
        <f t="shared" si="6"/>
        <v>373553.7</v>
      </c>
      <c r="H80" s="10">
        <v>1157.9000000000001</v>
      </c>
      <c r="I80" s="10">
        <v>4878.3999999999996</v>
      </c>
      <c r="J80" s="10">
        <v>18583.8</v>
      </c>
      <c r="K80" s="10">
        <v>46796.200000000004</v>
      </c>
      <c r="L80" s="10">
        <v>2790.1</v>
      </c>
      <c r="M80" s="10">
        <v>2911.3</v>
      </c>
      <c r="N80" s="10">
        <v>17868.7</v>
      </c>
      <c r="O80" s="10">
        <v>108869.3</v>
      </c>
      <c r="P80" s="11">
        <f t="shared" si="7"/>
        <v>203855.7</v>
      </c>
    </row>
    <row r="81" spans="2:16" ht="34.9" hidden="1" customHeight="1">
      <c r="B81" s="3">
        <v>2010</v>
      </c>
      <c r="C81" s="12"/>
      <c r="D81" s="12"/>
      <c r="E81" s="12"/>
      <c r="F81" s="12"/>
      <c r="G81" s="13"/>
      <c r="H81" s="12"/>
      <c r="I81" s="12"/>
      <c r="J81" s="12"/>
      <c r="K81" s="12"/>
      <c r="L81" s="12"/>
      <c r="M81" s="12"/>
      <c r="N81" s="12"/>
      <c r="O81" s="12"/>
      <c r="P81" s="13"/>
    </row>
    <row r="82" spans="2:16" ht="34.9" hidden="1" customHeight="1">
      <c r="B82" s="14">
        <v>40179</v>
      </c>
      <c r="C82" s="6">
        <f>29785+2104.5+4329.1+5912.5</f>
        <v>42131.1</v>
      </c>
      <c r="D82" s="6">
        <f>11038.5+3200+4953+1524+966.4+1524+4953+722.1+3561.7</f>
        <v>32442.7</v>
      </c>
      <c r="E82" s="6">
        <f>93052.9</f>
        <v>93052.9</v>
      </c>
      <c r="F82" s="6">
        <f>128813+634.3+504+708+503.1+500.6+536+892.9+797.6+701.1+905.9+713.4+658.8+977.5+895+770+800.8+551.3+728+650+1057.1+905.6+510.6</f>
        <v>144714.59999999998</v>
      </c>
      <c r="G82" s="7">
        <f t="shared" ref="G82:G93" si="8">SUM(C82:F82)</f>
        <v>312341.3</v>
      </c>
      <c r="H82" s="6">
        <f>273.5</f>
        <v>273.5</v>
      </c>
      <c r="I82" s="6">
        <f>152.2</f>
        <v>152.19999999999999</v>
      </c>
      <c r="J82" s="6">
        <f>12642.8+1650</f>
        <v>14292.8</v>
      </c>
      <c r="K82" s="6">
        <f>57460</f>
        <v>57460</v>
      </c>
      <c r="L82" s="6">
        <f>2519.9</f>
        <v>2519.9</v>
      </c>
      <c r="M82" s="6">
        <f>217.2</f>
        <v>217.2</v>
      </c>
      <c r="N82" s="6">
        <f>14628.3</f>
        <v>14628.3</v>
      </c>
      <c r="O82" s="6">
        <f>61302.8+557.5+669+1048.1+1136.3+535.2+551.3+998.3+1043+521.5+521.5+1329.6+587.5+963.5+1292.5+528.8+732+972.8+829.6+590+1180+590+531+1130+1062.2+1161.6+931.7+1273.5+1519+1004.5+507.4+2374.8+731.6+1552.4+711+1042.8+1505+1128.8+989+506+2214.5+1071.6+990+963.6+1283+1456.6+612+642.6+963.5+846+934.8+533.4+508</f>
        <v>111162.70000000004</v>
      </c>
      <c r="P82" s="7">
        <f t="shared" ref="P82:P93" si="9">SUM(H82:O82)</f>
        <v>200706.60000000003</v>
      </c>
    </row>
    <row r="83" spans="2:16" ht="34.9" hidden="1" customHeight="1">
      <c r="B83" s="15">
        <v>40210</v>
      </c>
      <c r="C83" s="10">
        <f>49580.4+1668.9+951.6+834.2+831.8+526.4</f>
        <v>54393.3</v>
      </c>
      <c r="D83" s="10">
        <v>19299.2</v>
      </c>
      <c r="E83" s="10">
        <v>85586.6</v>
      </c>
      <c r="F83" s="10">
        <v>121367.6</v>
      </c>
      <c r="G83" s="11">
        <f t="shared" si="8"/>
        <v>280646.7</v>
      </c>
      <c r="H83" s="10">
        <v>172.2</v>
      </c>
      <c r="I83" s="10">
        <v>165.8</v>
      </c>
      <c r="J83" s="10">
        <v>7235.9</v>
      </c>
      <c r="K83" s="10">
        <v>35531.5</v>
      </c>
      <c r="L83" s="10">
        <v>3649.2</v>
      </c>
      <c r="M83" s="10">
        <v>355.7</v>
      </c>
      <c r="N83" s="10">
        <v>7294.7</v>
      </c>
      <c r="O83" s="10">
        <v>106495.6</v>
      </c>
      <c r="P83" s="11">
        <f t="shared" si="9"/>
        <v>160900.6</v>
      </c>
    </row>
    <row r="84" spans="2:16" ht="34.9" hidden="1" customHeight="1">
      <c r="B84" s="14">
        <v>40238</v>
      </c>
      <c r="C84" s="6">
        <f>85184.1+61600.1</f>
        <v>146784.20000000001</v>
      </c>
      <c r="D84" s="6">
        <f>14395.5+581.1+713+713.7+1004</f>
        <v>17407.3</v>
      </c>
      <c r="E84" s="6">
        <f>177815+1712.1+550+972+930+984.6+1807.2+2880+4420+509.7</f>
        <v>192580.60000000003</v>
      </c>
      <c r="F84" s="6">
        <f>269046+535+740.8+602.6+511.5+748+756.8+893.6+576+539.5+833.3+1032+863.1+507.2+976+516.6+608+600+505.6+504+2725.6+828+734.5+559.1+1680+542.5</f>
        <v>288965.29999999981</v>
      </c>
      <c r="G84" s="7">
        <f t="shared" si="8"/>
        <v>645737.39999999991</v>
      </c>
      <c r="H84" s="6">
        <f>827.8</f>
        <v>827.8</v>
      </c>
      <c r="I84" s="6">
        <f>244.4</f>
        <v>244.4</v>
      </c>
      <c r="J84" s="6">
        <f>19210.1</f>
        <v>19210.099999999999</v>
      </c>
      <c r="K84" s="6">
        <f>55006.1+516.8</f>
        <v>55522.9</v>
      </c>
      <c r="L84" s="6">
        <f>4310.4</f>
        <v>4310.3999999999996</v>
      </c>
      <c r="M84" s="6">
        <f>392.9</f>
        <v>392.9</v>
      </c>
      <c r="N84" s="6">
        <f>6238.6</f>
        <v>6238.6</v>
      </c>
      <c r="O84" s="6">
        <f>69069+517.4+506+600+1884+1125+1200+829.5+590+836.5+598+854+941.7+1095+941.7+1145+884.9+916+517.5+517.5+517.5+690+822.6+506.3</f>
        <v>88105.099999999991</v>
      </c>
      <c r="P84" s="7">
        <f t="shared" si="9"/>
        <v>174852.19999999998</v>
      </c>
    </row>
    <row r="85" spans="2:16" ht="34.9" hidden="1" customHeight="1">
      <c r="B85" s="15">
        <v>40269</v>
      </c>
      <c r="C85" s="10">
        <f>58128.8+4801.5+1948.4+1106</f>
        <v>65984.700000000012</v>
      </c>
      <c r="D85" s="10">
        <f>16874.9+503.1+1041.9+739.9+740.6+594.8+507.1</f>
        <v>21002.3</v>
      </c>
      <c r="E85" s="10">
        <f>389752.3+995+514.9+1387.9</f>
        <v>392650.10000000003</v>
      </c>
      <c r="F85" s="10">
        <f>364877.4+669+1071.3+567+894.7+1108+926.7+603.4+561+10559.5</f>
        <v>381838.00000000006</v>
      </c>
      <c r="G85" s="11">
        <f t="shared" si="8"/>
        <v>861475.10000000009</v>
      </c>
      <c r="H85" s="10">
        <f>509.4</f>
        <v>509.4</v>
      </c>
      <c r="I85" s="10">
        <f>197.5</f>
        <v>197.5</v>
      </c>
      <c r="J85" s="10">
        <f>15335.2</f>
        <v>15335.2</v>
      </c>
      <c r="K85" s="10">
        <f>25007</f>
        <v>25007</v>
      </c>
      <c r="L85" s="10">
        <f>6171.1</f>
        <v>6171.1</v>
      </c>
      <c r="M85" s="10">
        <f>547.5</f>
        <v>547.5</v>
      </c>
      <c r="N85" s="10">
        <f>10145.2</f>
        <v>10145.200000000001</v>
      </c>
      <c r="O85" s="10">
        <f>56849.1+1019.5+501.1+1805.8+531.7+532.5+894.5+2576+675.6</f>
        <v>65385.799999999996</v>
      </c>
      <c r="P85" s="11">
        <f t="shared" si="9"/>
        <v>123298.69999999998</v>
      </c>
    </row>
    <row r="86" spans="2:16" ht="34.9" hidden="1" customHeight="1">
      <c r="B86" s="14">
        <v>40299</v>
      </c>
      <c r="C86" s="6">
        <f>42362.9+14050.4</f>
        <v>56413.3</v>
      </c>
      <c r="D86" s="6">
        <f>9443.1+502.2</f>
        <v>9945.3000000000011</v>
      </c>
      <c r="E86" s="6">
        <f>179207.2+790+560+507.3+4920+926.5</f>
        <v>186911</v>
      </c>
      <c r="F86" s="6">
        <f>137616.9+727.5+7965.9</f>
        <v>146310.29999999999</v>
      </c>
      <c r="G86" s="7">
        <f t="shared" si="8"/>
        <v>399579.9</v>
      </c>
      <c r="H86" s="6">
        <v>1241.5</v>
      </c>
      <c r="I86" s="6">
        <v>2423.9</v>
      </c>
      <c r="J86" s="6">
        <v>14574</v>
      </c>
      <c r="K86" s="6">
        <f>18319.4+39.5</f>
        <v>18358.900000000001</v>
      </c>
      <c r="L86" s="6">
        <v>3032.7</v>
      </c>
      <c r="M86" s="6">
        <v>395.6</v>
      </c>
      <c r="N86" s="6">
        <v>8619.1</v>
      </c>
      <c r="O86" s="6">
        <f>58607.3+808+503.7+716.1+2376.2+503.8+503.8+585+506.3+508.1+1485+618.8+508.2</f>
        <v>68230.3</v>
      </c>
      <c r="P86" s="7">
        <f t="shared" si="9"/>
        <v>116876</v>
      </c>
    </row>
    <row r="87" spans="2:16" ht="34.9" hidden="1" customHeight="1">
      <c r="B87" s="15">
        <v>40330</v>
      </c>
      <c r="C87" s="10">
        <f>52234.325+20348.817+3740.724+7229.8</f>
        <v>83553.665999999997</v>
      </c>
      <c r="D87" s="10">
        <v>17133.099999999999</v>
      </c>
      <c r="E87" s="10">
        <f>126523.719+520</f>
        <v>127043.719</v>
      </c>
      <c r="F87" s="10">
        <f>96564.6+540</f>
        <v>97104.6</v>
      </c>
      <c r="G87" s="11">
        <f t="shared" si="8"/>
        <v>324835.08499999996</v>
      </c>
      <c r="H87" s="10">
        <v>637.20000000000005</v>
      </c>
      <c r="I87" s="10">
        <v>1154.1890000000001</v>
      </c>
      <c r="J87" s="10">
        <v>19374.758000000002</v>
      </c>
      <c r="K87" s="10">
        <v>12150.44</v>
      </c>
      <c r="L87" s="10">
        <v>1998.5</v>
      </c>
      <c r="M87" s="10">
        <v>1280.4449999999999</v>
      </c>
      <c r="N87" s="10">
        <v>10963.805</v>
      </c>
      <c r="O87" s="10">
        <f>66888.416+795.083+537.3+897.7+1089</f>
        <v>70207.498999999996</v>
      </c>
      <c r="P87" s="11">
        <f t="shared" si="9"/>
        <v>117766.836</v>
      </c>
    </row>
    <row r="88" spans="2:16" ht="34.9" hidden="1" customHeight="1">
      <c r="B88" s="14">
        <v>40360</v>
      </c>
      <c r="C88" s="6">
        <f>28550.625+2150+3053.147</f>
        <v>33753.771999999997</v>
      </c>
      <c r="D88" s="6">
        <v>19703.2</v>
      </c>
      <c r="E88" s="6">
        <f>116066+567+993+567+576+576</f>
        <v>119345</v>
      </c>
      <c r="F88" s="6">
        <f>104619.5+3350</f>
        <v>107969.5</v>
      </c>
      <c r="G88" s="7">
        <f t="shared" si="8"/>
        <v>280771.47200000001</v>
      </c>
      <c r="H88" s="6">
        <v>518.6</v>
      </c>
      <c r="I88" s="6">
        <v>875.73</v>
      </c>
      <c r="J88" s="6">
        <v>13602.351000000001</v>
      </c>
      <c r="K88" s="6">
        <v>12785.41</v>
      </c>
      <c r="L88" s="6">
        <v>1205.31</v>
      </c>
      <c r="M88" s="6">
        <v>1098.692</v>
      </c>
      <c r="N88" s="6">
        <v>4100.326</v>
      </c>
      <c r="O88" s="6">
        <f>72163.243+577.1+692.86+743.36+535.8+985.8+1158+511.5+778.05+585+577.1+990.255</f>
        <v>80298.068000000028</v>
      </c>
      <c r="P88" s="7">
        <f t="shared" si="9"/>
        <v>114484.48700000002</v>
      </c>
    </row>
    <row r="89" spans="2:16" ht="34.9" hidden="1" customHeight="1">
      <c r="B89" s="15">
        <v>40391</v>
      </c>
      <c r="C89" s="10">
        <v>46990.472999999998</v>
      </c>
      <c r="D89" s="10">
        <v>22840.3</v>
      </c>
      <c r="E89" s="10">
        <f>81971.7+823.8+837+560</f>
        <v>84192.5</v>
      </c>
      <c r="F89" s="10">
        <f>61533+550</f>
        <v>62083</v>
      </c>
      <c r="G89" s="11">
        <f t="shared" si="8"/>
        <v>216106.27299999999</v>
      </c>
      <c r="H89" s="10">
        <v>1571.768</v>
      </c>
      <c r="I89" s="10">
        <v>197.56399999999999</v>
      </c>
      <c r="J89" s="10">
        <v>23955.241999999998</v>
      </c>
      <c r="K89" s="10">
        <f>25735.5+528</f>
        <v>26263.5</v>
      </c>
      <c r="L89" s="10">
        <v>2645.3</v>
      </c>
      <c r="M89" s="10">
        <v>572.48699999999997</v>
      </c>
      <c r="N89" s="10">
        <v>5007.0609999999997</v>
      </c>
      <c r="O89" s="10">
        <f>115493.512+530.4+3207.6+1065.3+1008+1095+2185+737.8+825.86+713.9</f>
        <v>126862.372</v>
      </c>
      <c r="P89" s="11">
        <f t="shared" si="9"/>
        <v>187075.29399999999</v>
      </c>
    </row>
    <row r="90" spans="2:16" ht="34.9" hidden="1" customHeight="1">
      <c r="B90" s="14">
        <v>40422</v>
      </c>
      <c r="C90" s="6">
        <f>28203+45898.5</f>
        <v>74101.5</v>
      </c>
      <c r="D90" s="6">
        <v>24324.2</v>
      </c>
      <c r="E90" s="6">
        <f>101703.9+1098+567.1</f>
        <v>103369</v>
      </c>
      <c r="F90" s="6">
        <v>84245</v>
      </c>
      <c r="G90" s="7">
        <f t="shared" si="8"/>
        <v>286039.7</v>
      </c>
      <c r="H90" s="6">
        <v>2565.4</v>
      </c>
      <c r="I90" s="6">
        <v>609.79999999999995</v>
      </c>
      <c r="J90" s="6">
        <v>33641.4</v>
      </c>
      <c r="K90" s="6">
        <v>32425.7</v>
      </c>
      <c r="L90" s="6">
        <v>1152.5999999999999</v>
      </c>
      <c r="M90" s="6">
        <v>368.4</v>
      </c>
      <c r="N90" s="6">
        <v>6346</v>
      </c>
      <c r="O90" s="6">
        <f>115893.4+22619.8-574.7</f>
        <v>137938.49999999997</v>
      </c>
      <c r="P90" s="7">
        <f t="shared" si="9"/>
        <v>215047.8</v>
      </c>
    </row>
    <row r="91" spans="2:16" ht="34.9" hidden="1" customHeight="1">
      <c r="B91" s="15">
        <v>40452</v>
      </c>
      <c r="C91" s="10">
        <f>27723.6+8501.1</f>
        <v>36224.699999999997</v>
      </c>
      <c r="D91" s="10">
        <v>20951.599999999999</v>
      </c>
      <c r="E91" s="10">
        <f>65891.6+2550+510</f>
        <v>68951.600000000006</v>
      </c>
      <c r="F91" s="10">
        <v>63203.4</v>
      </c>
      <c r="G91" s="11">
        <f t="shared" si="8"/>
        <v>189331.3</v>
      </c>
      <c r="H91" s="10">
        <v>2428.8000000000002</v>
      </c>
      <c r="I91" s="10">
        <v>919.3</v>
      </c>
      <c r="J91" s="10">
        <v>24681.3</v>
      </c>
      <c r="K91" s="10">
        <v>28353.1</v>
      </c>
      <c r="L91" s="10">
        <v>2390.3000000000002</v>
      </c>
      <c r="M91" s="10">
        <v>1073.5999999999999</v>
      </c>
      <c r="N91" s="10">
        <v>6812</v>
      </c>
      <c r="O91" s="10">
        <v>90557.2</v>
      </c>
      <c r="P91" s="11">
        <f t="shared" si="9"/>
        <v>157215.59999999998</v>
      </c>
    </row>
    <row r="92" spans="2:16" ht="34.9" hidden="1" customHeight="1">
      <c r="B92" s="14">
        <v>40483</v>
      </c>
      <c r="C92" s="6">
        <f>25403.5+755.7</f>
        <v>26159.200000000001</v>
      </c>
      <c r="D92" s="6">
        <v>15066.3</v>
      </c>
      <c r="E92" s="6">
        <v>48390.1</v>
      </c>
      <c r="F92" s="6">
        <v>43880.5</v>
      </c>
      <c r="G92" s="7">
        <f t="shared" si="8"/>
        <v>133496.1</v>
      </c>
      <c r="H92" s="6">
        <v>511.2</v>
      </c>
      <c r="I92" s="6">
        <v>853.7</v>
      </c>
      <c r="J92" s="6">
        <v>15576.1</v>
      </c>
      <c r="K92" s="6">
        <v>15362.9</v>
      </c>
      <c r="L92" s="6">
        <v>1346.7</v>
      </c>
      <c r="M92" s="6">
        <v>1753</v>
      </c>
      <c r="N92" s="6">
        <v>3658.1</v>
      </c>
      <c r="O92" s="6">
        <f>65891.1+619.5+501.6+937+1844.6+1066.9+963.9+698.8+529+2294.8+1402.6+948.6+507.5+930+976.5</f>
        <v>80112.400000000023</v>
      </c>
      <c r="P92" s="7">
        <f t="shared" si="9"/>
        <v>119174.10000000002</v>
      </c>
    </row>
    <row r="93" spans="2:16" ht="34.9" hidden="1" customHeight="1">
      <c r="B93" s="15">
        <v>40513</v>
      </c>
      <c r="C93" s="10">
        <f>40607.6+870+830.1+4025.6</f>
        <v>46333.299999999996</v>
      </c>
      <c r="D93" s="10">
        <v>22112</v>
      </c>
      <c r="E93" s="10">
        <f>52351.9+840+998.4</f>
        <v>54190.3</v>
      </c>
      <c r="F93" s="10">
        <f>117882.7+882+882+1470</f>
        <v>121116.7</v>
      </c>
      <c r="G93" s="11">
        <f t="shared" si="8"/>
        <v>243752.3</v>
      </c>
      <c r="H93" s="10">
        <v>299.2</v>
      </c>
      <c r="I93" s="10">
        <v>424.4</v>
      </c>
      <c r="J93" s="10">
        <v>19330.8</v>
      </c>
      <c r="K93" s="10">
        <v>18831.7</v>
      </c>
      <c r="L93" s="10">
        <v>1741.4</v>
      </c>
      <c r="M93" s="10">
        <v>1121.2</v>
      </c>
      <c r="N93" s="10">
        <v>6126.4</v>
      </c>
      <c r="O93" s="10">
        <f>5118.8+504+501.8+695.5+1872.5+697.6</f>
        <v>9390.2000000000007</v>
      </c>
      <c r="P93" s="11">
        <f t="shared" si="9"/>
        <v>57265.3</v>
      </c>
    </row>
    <row r="94" spans="2:16" ht="34.9" hidden="1" customHeight="1">
      <c r="B94" s="3">
        <v>2011</v>
      </c>
      <c r="C94" s="12"/>
      <c r="D94" s="12"/>
      <c r="E94" s="12"/>
      <c r="F94" s="12"/>
      <c r="G94" s="13"/>
      <c r="H94" s="12"/>
      <c r="I94" s="12"/>
      <c r="J94" s="12"/>
      <c r="K94" s="12"/>
      <c r="L94" s="12"/>
      <c r="M94" s="12"/>
      <c r="N94" s="12"/>
      <c r="O94" s="12"/>
      <c r="P94" s="13"/>
    </row>
    <row r="95" spans="2:16" ht="34.9" hidden="1" customHeight="1">
      <c r="B95" s="14">
        <v>40544</v>
      </c>
      <c r="C95" s="6">
        <f>39614.6+5336.5</f>
        <v>44951.1</v>
      </c>
      <c r="D95" s="6">
        <v>8273.2000000000007</v>
      </c>
      <c r="E95" s="6">
        <v>41922.800000000003</v>
      </c>
      <c r="F95" s="6">
        <v>107629.4</v>
      </c>
      <c r="G95" s="7">
        <f t="shared" ref="G95:G106" si="10">SUM(C95:F95)</f>
        <v>202776.5</v>
      </c>
      <c r="H95" s="6">
        <v>368.7</v>
      </c>
      <c r="I95" s="6">
        <v>989.2</v>
      </c>
      <c r="J95" s="6">
        <v>26415.1</v>
      </c>
      <c r="K95" s="6">
        <v>26478.3</v>
      </c>
      <c r="L95" s="6">
        <v>2739</v>
      </c>
      <c r="M95" s="6">
        <v>474.9</v>
      </c>
      <c r="N95" s="6">
        <v>13751.8</v>
      </c>
      <c r="O95" s="6">
        <v>10339.9</v>
      </c>
      <c r="P95" s="7">
        <f t="shared" ref="P95:P106" si="11">SUM(H95:O95)</f>
        <v>81556.899999999994</v>
      </c>
    </row>
    <row r="96" spans="2:16" ht="34.9" hidden="1" customHeight="1">
      <c r="B96" s="15">
        <v>40575</v>
      </c>
      <c r="C96" s="10">
        <f>31246.5+5550</f>
        <v>36796.5</v>
      </c>
      <c r="D96" s="10">
        <v>6909</v>
      </c>
      <c r="E96" s="10">
        <v>31337</v>
      </c>
      <c r="F96" s="10">
        <f>54442.1+660.7+601.6</f>
        <v>55704.399999999994</v>
      </c>
      <c r="G96" s="11">
        <f t="shared" si="10"/>
        <v>130746.9</v>
      </c>
      <c r="H96" s="10">
        <v>78.900000000000006</v>
      </c>
      <c r="I96" s="10">
        <v>390.4</v>
      </c>
      <c r="J96" s="10">
        <v>9427.2999999999993</v>
      </c>
      <c r="K96" s="10">
        <v>11083</v>
      </c>
      <c r="L96" s="10">
        <v>2091</v>
      </c>
      <c r="M96" s="10">
        <v>201.5</v>
      </c>
      <c r="N96" s="10">
        <v>4752.1000000000004</v>
      </c>
      <c r="O96" s="10">
        <v>6908.6</v>
      </c>
      <c r="P96" s="11">
        <f t="shared" si="11"/>
        <v>34932.799999999996</v>
      </c>
    </row>
    <row r="97" spans="2:16" ht="34.9" hidden="1" customHeight="1">
      <c r="B97" s="14">
        <v>40603</v>
      </c>
      <c r="C97" s="6">
        <f>60788.2+895+590.2</f>
        <v>62273.399999999994</v>
      </c>
      <c r="D97" s="6">
        <v>8856</v>
      </c>
      <c r="E97" s="6">
        <v>51155.9</v>
      </c>
      <c r="F97" s="6">
        <v>58926.9</v>
      </c>
      <c r="G97" s="7">
        <f t="shared" si="10"/>
        <v>181212.19999999998</v>
      </c>
      <c r="H97" s="6">
        <v>51.7</v>
      </c>
      <c r="I97" s="6">
        <v>1779.3</v>
      </c>
      <c r="J97" s="6">
        <v>13508.9</v>
      </c>
      <c r="K97" s="6">
        <v>11972</v>
      </c>
      <c r="L97" s="6">
        <v>1932.7</v>
      </c>
      <c r="M97" s="6">
        <v>383.5</v>
      </c>
      <c r="N97" s="6">
        <v>7516.3</v>
      </c>
      <c r="O97" s="6">
        <v>6207.7</v>
      </c>
      <c r="P97" s="7">
        <f t="shared" si="11"/>
        <v>43352.1</v>
      </c>
    </row>
    <row r="98" spans="2:16" ht="34.9" hidden="1" customHeight="1">
      <c r="B98" s="15">
        <v>40634</v>
      </c>
      <c r="C98" s="10">
        <f>26276.2+6011.4+2584.8+2584.8+2584.7+17940.1</f>
        <v>57982</v>
      </c>
      <c r="D98" s="10">
        <f>4445.4+625.6</f>
        <v>5071</v>
      </c>
      <c r="E98" s="10">
        <f>47691.7+870+603.2</f>
        <v>49164.899999999994</v>
      </c>
      <c r="F98" s="10">
        <v>63800.7</v>
      </c>
      <c r="G98" s="11">
        <f t="shared" si="10"/>
        <v>176018.59999999998</v>
      </c>
      <c r="H98" s="10">
        <v>293.3</v>
      </c>
      <c r="I98" s="10">
        <v>354.1</v>
      </c>
      <c r="J98" s="10">
        <f>7767.5+4950</f>
        <v>12717.5</v>
      </c>
      <c r="K98" s="10">
        <v>11207.7</v>
      </c>
      <c r="L98" s="10">
        <v>1256.9000000000001</v>
      </c>
      <c r="M98" s="10">
        <v>309.7</v>
      </c>
      <c r="N98" s="10">
        <v>11536.4</v>
      </c>
      <c r="O98" s="10">
        <v>11615.7</v>
      </c>
      <c r="P98" s="11">
        <f t="shared" si="11"/>
        <v>49291.3</v>
      </c>
    </row>
    <row r="99" spans="2:16" ht="34.9" hidden="1" customHeight="1">
      <c r="B99" s="14">
        <v>40664</v>
      </c>
      <c r="C99" s="6">
        <f>37657.7+2718.4</f>
        <v>40376.1</v>
      </c>
      <c r="D99" s="6">
        <v>5003.3999999999996</v>
      </c>
      <c r="E99" s="6">
        <f>79709.6+615.6</f>
        <v>80325.200000000012</v>
      </c>
      <c r="F99" s="6">
        <f>96047.3+639.2</f>
        <v>96686.5</v>
      </c>
      <c r="G99" s="7">
        <f t="shared" si="10"/>
        <v>222391.2</v>
      </c>
      <c r="H99" s="6">
        <v>219.1</v>
      </c>
      <c r="I99" s="6">
        <v>617</v>
      </c>
      <c r="J99" s="6">
        <v>10320</v>
      </c>
      <c r="K99" s="6">
        <v>7000.7</v>
      </c>
      <c r="L99" s="6">
        <v>1171.0999999999999</v>
      </c>
      <c r="M99" s="6">
        <v>2219.1</v>
      </c>
      <c r="N99" s="6">
        <v>8060</v>
      </c>
      <c r="O99" s="6">
        <v>19786.599999999999</v>
      </c>
      <c r="P99" s="7">
        <f t="shared" si="11"/>
        <v>49393.599999999991</v>
      </c>
    </row>
    <row r="100" spans="2:16" ht="34.9" hidden="1" customHeight="1">
      <c r="B100" s="15">
        <v>40695</v>
      </c>
      <c r="C100" s="10">
        <v>38695.199999999997</v>
      </c>
      <c r="D100" s="10">
        <v>6018</v>
      </c>
      <c r="E100" s="10">
        <v>54071</v>
      </c>
      <c r="F100" s="10">
        <v>79950.3</v>
      </c>
      <c r="G100" s="11">
        <f t="shared" si="10"/>
        <v>178734.5</v>
      </c>
      <c r="H100" s="10">
        <v>1811.9</v>
      </c>
      <c r="I100" s="10">
        <v>317.5</v>
      </c>
      <c r="J100" s="10">
        <v>7427.8</v>
      </c>
      <c r="K100" s="10">
        <v>7137.8</v>
      </c>
      <c r="L100" s="10">
        <v>1680.7</v>
      </c>
      <c r="M100" s="10">
        <v>785.9</v>
      </c>
      <c r="N100" s="10">
        <v>4838.8</v>
      </c>
      <c r="O100" s="10">
        <v>8118.7</v>
      </c>
      <c r="P100" s="11">
        <f t="shared" si="11"/>
        <v>32119.100000000002</v>
      </c>
    </row>
    <row r="101" spans="2:16" ht="34.9" hidden="1" customHeight="1">
      <c r="B101" s="14">
        <v>40725</v>
      </c>
      <c r="C101" s="6">
        <v>30083.200000000001</v>
      </c>
      <c r="D101" s="6">
        <v>6342.9</v>
      </c>
      <c r="E101" s="6">
        <v>35433.5</v>
      </c>
      <c r="F101" s="6">
        <f>78950.6+1138.6</f>
        <v>80089.200000000012</v>
      </c>
      <c r="G101" s="7">
        <f t="shared" si="10"/>
        <v>151948.80000000002</v>
      </c>
      <c r="H101" s="6">
        <v>143.4</v>
      </c>
      <c r="I101" s="6">
        <v>549.1</v>
      </c>
      <c r="J101" s="6">
        <v>9204.7000000000007</v>
      </c>
      <c r="K101" s="6">
        <f>6911+4605</f>
        <v>11516</v>
      </c>
      <c r="L101" s="6">
        <v>3125</v>
      </c>
      <c r="M101" s="6">
        <v>2441.4</v>
      </c>
      <c r="N101" s="6">
        <v>4475.3</v>
      </c>
      <c r="O101" s="6">
        <v>12124.3</v>
      </c>
      <c r="P101" s="7">
        <f t="shared" si="11"/>
        <v>43579.199999999997</v>
      </c>
    </row>
    <row r="102" spans="2:16" ht="34.9" hidden="1" customHeight="1">
      <c r="B102" s="15">
        <v>40756</v>
      </c>
      <c r="C102" s="10">
        <v>25647.9</v>
      </c>
      <c r="D102" s="10">
        <v>4675</v>
      </c>
      <c r="E102" s="10">
        <v>22591.5</v>
      </c>
      <c r="F102" s="10">
        <v>49670.3</v>
      </c>
      <c r="G102" s="11">
        <f t="shared" si="10"/>
        <v>102584.70000000001</v>
      </c>
      <c r="H102" s="10">
        <v>190.1</v>
      </c>
      <c r="I102" s="10">
        <v>181.8</v>
      </c>
      <c r="J102" s="10">
        <v>13630.7</v>
      </c>
      <c r="K102" s="10">
        <v>10381.799999999999</v>
      </c>
      <c r="L102" s="10">
        <v>1200.9000000000001</v>
      </c>
      <c r="M102" s="10">
        <v>393.5</v>
      </c>
      <c r="N102" s="10">
        <v>3028.8</v>
      </c>
      <c r="O102" s="10">
        <v>17373</v>
      </c>
      <c r="P102" s="11">
        <f t="shared" si="11"/>
        <v>46380.600000000006</v>
      </c>
    </row>
    <row r="103" spans="2:16" ht="34.9" hidden="1" customHeight="1">
      <c r="B103" s="14">
        <v>40787</v>
      </c>
      <c r="C103" s="6">
        <v>28465.5</v>
      </c>
      <c r="D103" s="6">
        <v>7070.3</v>
      </c>
      <c r="E103" s="6">
        <v>37280.199999999997</v>
      </c>
      <c r="F103" s="6">
        <v>49852.2</v>
      </c>
      <c r="G103" s="7">
        <f t="shared" si="10"/>
        <v>122668.2</v>
      </c>
      <c r="H103" s="6">
        <v>699.8</v>
      </c>
      <c r="I103" s="6">
        <v>324.3</v>
      </c>
      <c r="J103" s="6">
        <v>12673.5</v>
      </c>
      <c r="K103" s="6">
        <v>12815.5</v>
      </c>
      <c r="L103" s="6">
        <v>921.7</v>
      </c>
      <c r="M103" s="6">
        <v>200.8</v>
      </c>
      <c r="N103" s="6">
        <v>3298</v>
      </c>
      <c r="O103" s="6">
        <v>23307.1</v>
      </c>
      <c r="P103" s="7">
        <f t="shared" si="11"/>
        <v>54240.7</v>
      </c>
    </row>
    <row r="104" spans="2:16" ht="34.9" hidden="1" customHeight="1">
      <c r="B104" s="15">
        <v>40817</v>
      </c>
      <c r="C104" s="10">
        <f>40775.5+5654</f>
        <v>46429.5</v>
      </c>
      <c r="D104" s="10">
        <v>5651.5</v>
      </c>
      <c r="E104" s="10">
        <v>27476.400000000001</v>
      </c>
      <c r="F104" s="10">
        <v>38717.599999999999</v>
      </c>
      <c r="G104" s="11">
        <f t="shared" si="10"/>
        <v>118275</v>
      </c>
      <c r="H104" s="10">
        <v>283.10000000000002</v>
      </c>
      <c r="I104" s="10">
        <v>294.3</v>
      </c>
      <c r="J104" s="10">
        <v>10178.299999999999</v>
      </c>
      <c r="K104" s="10">
        <v>9111.2000000000007</v>
      </c>
      <c r="L104" s="10">
        <v>889.8</v>
      </c>
      <c r="M104" s="10">
        <v>400.2</v>
      </c>
      <c r="N104" s="10">
        <v>7650</v>
      </c>
      <c r="O104" s="10">
        <v>13105.4</v>
      </c>
      <c r="P104" s="11">
        <f t="shared" si="11"/>
        <v>41912.300000000003</v>
      </c>
    </row>
    <row r="105" spans="2:16" ht="34.9" hidden="1" customHeight="1">
      <c r="B105" s="14">
        <v>40848</v>
      </c>
      <c r="C105" s="6">
        <v>16176.9</v>
      </c>
      <c r="D105" s="6">
        <v>3441.6</v>
      </c>
      <c r="E105" s="6">
        <v>16556.900000000001</v>
      </c>
      <c r="F105" s="6">
        <f>33763.4+817</f>
        <v>34580.400000000001</v>
      </c>
      <c r="G105" s="7">
        <f t="shared" si="10"/>
        <v>70755.8</v>
      </c>
      <c r="H105" s="6">
        <v>282.60000000000002</v>
      </c>
      <c r="I105" s="6">
        <v>504.5</v>
      </c>
      <c r="J105" s="6">
        <v>9424.7999999999993</v>
      </c>
      <c r="K105" s="6">
        <v>5199.2</v>
      </c>
      <c r="L105" s="6">
        <v>977.9</v>
      </c>
      <c r="M105" s="6">
        <v>1364.5</v>
      </c>
      <c r="N105" s="6">
        <v>18731</v>
      </c>
      <c r="O105" s="6">
        <v>13365.3</v>
      </c>
      <c r="P105" s="7">
        <f t="shared" si="11"/>
        <v>49849.8</v>
      </c>
    </row>
    <row r="106" spans="2:16" ht="34.9" hidden="1" customHeight="1">
      <c r="B106" s="15">
        <v>40878</v>
      </c>
      <c r="C106" s="10">
        <f>30382.5+1296+528.3</f>
        <v>32206.799999999999</v>
      </c>
      <c r="D106" s="10">
        <v>5799.2</v>
      </c>
      <c r="E106" s="10">
        <v>23741</v>
      </c>
      <c r="F106" s="10">
        <f>36414.5+1077</f>
        <v>37491.5</v>
      </c>
      <c r="G106" s="11">
        <f t="shared" si="10"/>
        <v>99238.5</v>
      </c>
      <c r="H106" s="10">
        <v>1022</v>
      </c>
      <c r="I106" s="10">
        <v>1456.9</v>
      </c>
      <c r="J106" s="10">
        <v>7749.3</v>
      </c>
      <c r="K106" s="10">
        <v>6736</v>
      </c>
      <c r="L106" s="10">
        <v>792.5</v>
      </c>
      <c r="M106" s="10">
        <v>667.6</v>
      </c>
      <c r="N106" s="10">
        <v>20943.099999999999</v>
      </c>
      <c r="O106" s="10">
        <v>10026.299999999999</v>
      </c>
      <c r="P106" s="11">
        <f t="shared" si="11"/>
        <v>49393.7</v>
      </c>
    </row>
    <row r="107" spans="2:16" ht="34.9" hidden="1" customHeight="1">
      <c r="B107" s="3">
        <v>2012</v>
      </c>
      <c r="C107" s="12"/>
      <c r="D107" s="12"/>
      <c r="E107" s="12"/>
      <c r="F107" s="12"/>
      <c r="G107" s="13"/>
      <c r="H107" s="12"/>
      <c r="I107" s="12"/>
      <c r="J107" s="12"/>
      <c r="K107" s="12"/>
      <c r="L107" s="12"/>
      <c r="M107" s="12"/>
      <c r="N107" s="12"/>
      <c r="O107" s="12"/>
      <c r="P107" s="13"/>
    </row>
    <row r="108" spans="2:16" ht="34.9" hidden="1" customHeight="1">
      <c r="B108" s="14">
        <v>40909</v>
      </c>
      <c r="C108" s="6">
        <f>20481.1+3170+3170+4225.2</f>
        <v>31046.3</v>
      </c>
      <c r="D108" s="6">
        <v>3509.1</v>
      </c>
      <c r="E108" s="6">
        <v>32104.1</v>
      </c>
      <c r="F108" s="6">
        <f>38036.7+594+1188.7+1054.9</f>
        <v>40874.299999999996</v>
      </c>
      <c r="G108" s="7">
        <f t="shared" ref="G108:G119" si="12">SUM(C108:F108)</f>
        <v>107533.79999999999</v>
      </c>
      <c r="H108" s="6">
        <v>212.3</v>
      </c>
      <c r="I108" s="6">
        <v>175</v>
      </c>
      <c r="J108" s="6">
        <v>2757.8</v>
      </c>
      <c r="K108" s="6">
        <v>11434.3</v>
      </c>
      <c r="L108" s="6">
        <v>2101.9</v>
      </c>
      <c r="M108" s="6">
        <v>113.7</v>
      </c>
      <c r="N108" s="6">
        <v>4125.3</v>
      </c>
      <c r="O108" s="6">
        <v>8624.6</v>
      </c>
      <c r="P108" s="7">
        <f t="shared" ref="P108:P119" si="13">SUM(H108:O108)</f>
        <v>29544.9</v>
      </c>
    </row>
    <row r="109" spans="2:16" ht="34.9" hidden="1" customHeight="1">
      <c r="B109" s="15">
        <v>40940</v>
      </c>
      <c r="C109" s="10">
        <f>46926.6+543.2</f>
        <v>47469.799999999996</v>
      </c>
      <c r="D109" s="10">
        <v>2495.4</v>
      </c>
      <c r="E109" s="10">
        <v>37151.4</v>
      </c>
      <c r="F109" s="10">
        <v>35455.199999999997</v>
      </c>
      <c r="G109" s="11">
        <f t="shared" si="12"/>
        <v>122571.8</v>
      </c>
      <c r="H109" s="10">
        <v>384.5</v>
      </c>
      <c r="I109" s="10">
        <v>252</v>
      </c>
      <c r="J109" s="10">
        <v>4676.8999999999996</v>
      </c>
      <c r="K109" s="10">
        <v>7637.6</v>
      </c>
      <c r="L109" s="10">
        <v>1237</v>
      </c>
      <c r="M109" s="10">
        <v>207</v>
      </c>
      <c r="N109" s="10">
        <v>4949.8999999999996</v>
      </c>
      <c r="O109" s="10">
        <v>7193.3</v>
      </c>
      <c r="P109" s="11">
        <f t="shared" si="13"/>
        <v>26538.2</v>
      </c>
    </row>
    <row r="110" spans="2:16" ht="34.9" hidden="1" customHeight="1">
      <c r="B110" s="14">
        <v>40969</v>
      </c>
      <c r="C110" s="6">
        <v>32806.9</v>
      </c>
      <c r="D110" s="6">
        <v>2309.8000000000002</v>
      </c>
      <c r="E110" s="6">
        <v>54052.3</v>
      </c>
      <c r="F110" s="6">
        <f>47465.1+552</f>
        <v>48017.1</v>
      </c>
      <c r="G110" s="7">
        <f t="shared" si="12"/>
        <v>137186.1</v>
      </c>
      <c r="H110" s="6">
        <v>547.20000000000005</v>
      </c>
      <c r="I110" s="6">
        <v>271.60000000000002</v>
      </c>
      <c r="J110" s="6">
        <v>9055.1</v>
      </c>
      <c r="K110" s="6">
        <v>13433.2</v>
      </c>
      <c r="L110" s="6">
        <v>1535.7</v>
      </c>
      <c r="M110" s="6">
        <v>337.7</v>
      </c>
      <c r="N110" s="6">
        <v>9261.2000000000007</v>
      </c>
      <c r="O110" s="6">
        <v>6101.9</v>
      </c>
      <c r="P110" s="7">
        <f t="shared" si="13"/>
        <v>40543.599999999999</v>
      </c>
    </row>
    <row r="111" spans="2:16" ht="34.9" hidden="1" customHeight="1">
      <c r="B111" s="15">
        <v>41000</v>
      </c>
      <c r="C111" s="10">
        <f>53007.6+3034.9</f>
        <v>56042.5</v>
      </c>
      <c r="D111" s="10">
        <v>1263.2</v>
      </c>
      <c r="E111" s="10">
        <v>38170</v>
      </c>
      <c r="F111" s="10">
        <v>45085.2</v>
      </c>
      <c r="G111" s="11">
        <f t="shared" si="12"/>
        <v>140560.9</v>
      </c>
      <c r="H111" s="10">
        <v>1436.8</v>
      </c>
      <c r="I111" s="10">
        <v>483.3</v>
      </c>
      <c r="J111" s="10">
        <v>7508.3</v>
      </c>
      <c r="K111" s="10">
        <v>18162.599999999999</v>
      </c>
      <c r="L111" s="10">
        <v>1547.8</v>
      </c>
      <c r="M111" s="10">
        <v>3041.8</v>
      </c>
      <c r="N111" s="10">
        <v>11710.4</v>
      </c>
      <c r="O111" s="10">
        <v>6886.1</v>
      </c>
      <c r="P111" s="11">
        <f t="shared" si="13"/>
        <v>50777.1</v>
      </c>
    </row>
    <row r="112" spans="2:16" ht="34.9" hidden="1" customHeight="1">
      <c r="B112" s="14">
        <v>41030</v>
      </c>
      <c r="C112" s="6">
        <v>21799.1</v>
      </c>
      <c r="D112" s="6">
        <f>2050.5+3643.5</f>
        <v>5694</v>
      </c>
      <c r="E112" s="6">
        <v>23113.9</v>
      </c>
      <c r="F112" s="6">
        <v>35248.5</v>
      </c>
      <c r="G112" s="7">
        <f t="shared" si="12"/>
        <v>85855.5</v>
      </c>
      <c r="H112" s="6">
        <v>373.7</v>
      </c>
      <c r="I112" s="6">
        <v>161.1</v>
      </c>
      <c r="J112" s="6">
        <v>9730.7000000000007</v>
      </c>
      <c r="K112" s="6">
        <v>7274.8</v>
      </c>
      <c r="L112" s="6">
        <v>1530.3</v>
      </c>
      <c r="M112" s="6">
        <v>114.3</v>
      </c>
      <c r="N112" s="6">
        <v>5747.6</v>
      </c>
      <c r="O112" s="6">
        <v>5776.7</v>
      </c>
      <c r="P112" s="7">
        <f t="shared" si="13"/>
        <v>30709.200000000001</v>
      </c>
    </row>
    <row r="113" spans="2:16" ht="34.9" hidden="1" customHeight="1">
      <c r="B113" s="15">
        <v>41061</v>
      </c>
      <c r="C113" s="10">
        <v>20621.2</v>
      </c>
      <c r="D113" s="10">
        <v>568</v>
      </c>
      <c r="E113" s="10">
        <v>15866.3</v>
      </c>
      <c r="F113" s="10">
        <v>50347</v>
      </c>
      <c r="G113" s="11">
        <f t="shared" si="12"/>
        <v>87402.5</v>
      </c>
      <c r="H113" s="10">
        <v>223.7</v>
      </c>
      <c r="I113" s="10">
        <v>623.6</v>
      </c>
      <c r="J113" s="10">
        <v>3925.4</v>
      </c>
      <c r="K113" s="10">
        <v>9981.2000000000007</v>
      </c>
      <c r="L113" s="10">
        <v>1125</v>
      </c>
      <c r="M113" s="10">
        <v>187.9</v>
      </c>
      <c r="N113" s="10">
        <v>4801.6000000000004</v>
      </c>
      <c r="O113" s="10">
        <v>3773.1</v>
      </c>
      <c r="P113" s="11">
        <f t="shared" si="13"/>
        <v>24641.5</v>
      </c>
    </row>
    <row r="114" spans="2:16" ht="34.9" hidden="1" customHeight="1">
      <c r="B114" s="14">
        <v>41091</v>
      </c>
      <c r="C114" s="6">
        <v>12089.6</v>
      </c>
      <c r="D114" s="6">
        <v>571.70000000000005</v>
      </c>
      <c r="E114" s="6">
        <v>21426</v>
      </c>
      <c r="F114" s="6">
        <v>45479.6</v>
      </c>
      <c r="G114" s="7">
        <f t="shared" si="12"/>
        <v>79566.899999999994</v>
      </c>
      <c r="H114" s="6">
        <v>190.4</v>
      </c>
      <c r="I114" s="6">
        <v>337.7</v>
      </c>
      <c r="J114" s="6">
        <v>5697.7</v>
      </c>
      <c r="K114" s="6">
        <v>13423.6</v>
      </c>
      <c r="L114" s="6">
        <v>666.7</v>
      </c>
      <c r="M114" s="6">
        <v>158</v>
      </c>
      <c r="N114" s="6">
        <v>3232</v>
      </c>
      <c r="O114" s="6">
        <v>4451</v>
      </c>
      <c r="P114" s="7">
        <f t="shared" si="13"/>
        <v>28157.100000000002</v>
      </c>
    </row>
    <row r="115" spans="2:16" ht="34.9" hidden="1" customHeight="1">
      <c r="B115" s="15">
        <v>41122</v>
      </c>
      <c r="C115" s="10">
        <f>25218.3+2108.2+500</f>
        <v>27826.5</v>
      </c>
      <c r="D115" s="10">
        <v>559.79999999999995</v>
      </c>
      <c r="E115" s="10">
        <f>11768.7</f>
        <v>11768.7</v>
      </c>
      <c r="F115" s="10">
        <f>27599.3+795</f>
        <v>28394.3</v>
      </c>
      <c r="G115" s="11">
        <f t="shared" si="12"/>
        <v>68549.3</v>
      </c>
      <c r="H115" s="10">
        <v>153.9</v>
      </c>
      <c r="I115" s="10">
        <v>552</v>
      </c>
      <c r="J115" s="10">
        <v>2478.5</v>
      </c>
      <c r="K115" s="10">
        <v>11371.5</v>
      </c>
      <c r="L115" s="10">
        <v>969.3</v>
      </c>
      <c r="M115" s="10">
        <v>192.4</v>
      </c>
      <c r="N115" s="10">
        <v>4642.6000000000004</v>
      </c>
      <c r="O115" s="10">
        <v>3720.5</v>
      </c>
      <c r="P115" s="11">
        <f t="shared" si="13"/>
        <v>24080.699999999997</v>
      </c>
    </row>
    <row r="116" spans="2:16" ht="34.9" hidden="1" customHeight="1">
      <c r="B116" s="14">
        <v>41153</v>
      </c>
      <c r="C116" s="6">
        <v>16763.400000000001</v>
      </c>
      <c r="D116" s="6">
        <v>5164.8999999999996</v>
      </c>
      <c r="E116" s="6">
        <f>17650.8</f>
        <v>17650.8</v>
      </c>
      <c r="F116" s="6">
        <v>34545.800000000003</v>
      </c>
      <c r="G116" s="7">
        <f t="shared" si="12"/>
        <v>74124.900000000009</v>
      </c>
      <c r="H116" s="6">
        <v>166.1</v>
      </c>
      <c r="I116" s="6">
        <v>541.20000000000005</v>
      </c>
      <c r="J116" s="6">
        <v>5193.8999999999996</v>
      </c>
      <c r="K116" s="6">
        <v>18046.900000000001</v>
      </c>
      <c r="L116" s="6">
        <v>287.10000000000002</v>
      </c>
      <c r="M116" s="6">
        <v>145.30000000000001</v>
      </c>
      <c r="N116" s="6">
        <v>7874.6</v>
      </c>
      <c r="O116" s="6">
        <v>9147.9</v>
      </c>
      <c r="P116" s="7">
        <f t="shared" si="13"/>
        <v>41403</v>
      </c>
    </row>
    <row r="117" spans="2:16" ht="34.9" hidden="1" customHeight="1">
      <c r="B117" s="15">
        <v>41183</v>
      </c>
      <c r="C117" s="10">
        <v>25477.7</v>
      </c>
      <c r="D117" s="10">
        <v>1151.9000000000001</v>
      </c>
      <c r="E117" s="10">
        <v>19470.7</v>
      </c>
      <c r="F117" s="10">
        <v>51304.4</v>
      </c>
      <c r="G117" s="11">
        <f t="shared" si="12"/>
        <v>97404.700000000012</v>
      </c>
      <c r="H117" s="10">
        <v>68.2</v>
      </c>
      <c r="I117" s="10">
        <v>382.3</v>
      </c>
      <c r="J117" s="10">
        <v>7745.3</v>
      </c>
      <c r="K117" s="10">
        <v>21371.200000000001</v>
      </c>
      <c r="L117" s="10">
        <v>558.6</v>
      </c>
      <c r="M117" s="10">
        <v>114.2</v>
      </c>
      <c r="N117" s="10">
        <v>5042.6000000000004</v>
      </c>
      <c r="O117" s="10">
        <v>2782.8</v>
      </c>
      <c r="P117" s="11">
        <f t="shared" si="13"/>
        <v>38065.200000000004</v>
      </c>
    </row>
    <row r="118" spans="2:16" ht="34.9" hidden="1" customHeight="1">
      <c r="B118" s="14">
        <v>41214</v>
      </c>
      <c r="C118" s="6">
        <f>18554.1</f>
        <v>18554.099999999999</v>
      </c>
      <c r="D118" s="6">
        <v>327.9</v>
      </c>
      <c r="E118" s="6">
        <v>23466.6</v>
      </c>
      <c r="F118" s="6">
        <v>40346.199999999997</v>
      </c>
      <c r="G118" s="7">
        <f t="shared" si="12"/>
        <v>82694.799999999988</v>
      </c>
      <c r="H118" s="6">
        <v>3339.1</v>
      </c>
      <c r="I118" s="6">
        <v>720.6</v>
      </c>
      <c r="J118" s="6">
        <v>3132.5</v>
      </c>
      <c r="K118" s="6">
        <v>18546</v>
      </c>
      <c r="L118" s="6">
        <v>1068.2</v>
      </c>
      <c r="M118" s="6">
        <v>114.3</v>
      </c>
      <c r="N118" s="6">
        <v>4991.5</v>
      </c>
      <c r="O118" s="6">
        <v>2563.1999999999998</v>
      </c>
      <c r="P118" s="7">
        <f t="shared" si="13"/>
        <v>34475.4</v>
      </c>
    </row>
    <row r="119" spans="2:16" ht="34.9" hidden="1" customHeight="1">
      <c r="B119" s="15">
        <v>41244</v>
      </c>
      <c r="C119" s="10">
        <f>17056.5+1305+7250</f>
        <v>25611.5</v>
      </c>
      <c r="D119" s="10">
        <v>464</v>
      </c>
      <c r="E119" s="10">
        <f>33929+1760.5</f>
        <v>35689.5</v>
      </c>
      <c r="F119" s="10">
        <f>43749.4+513.5</f>
        <v>44262.9</v>
      </c>
      <c r="G119" s="11">
        <f t="shared" si="12"/>
        <v>106027.9</v>
      </c>
      <c r="H119" s="10">
        <v>141.4</v>
      </c>
      <c r="I119" s="10">
        <v>196.8</v>
      </c>
      <c r="J119" s="10">
        <f>10474.8+705</f>
        <v>11179.8</v>
      </c>
      <c r="K119" s="10">
        <v>15607</v>
      </c>
      <c r="L119" s="10">
        <v>916</v>
      </c>
      <c r="M119" s="10">
        <v>152.30000000000001</v>
      </c>
      <c r="N119" s="10">
        <v>4264.7</v>
      </c>
      <c r="O119" s="10">
        <v>2499.9</v>
      </c>
      <c r="P119" s="11">
        <f t="shared" si="13"/>
        <v>34957.9</v>
      </c>
    </row>
    <row r="120" spans="2:16" ht="34.9" hidden="1" customHeight="1">
      <c r="B120" s="3">
        <v>2013</v>
      </c>
      <c r="C120" s="12"/>
      <c r="D120" s="12"/>
      <c r="E120" s="12"/>
      <c r="F120" s="12"/>
      <c r="G120" s="13"/>
      <c r="H120" s="12"/>
      <c r="I120" s="12"/>
      <c r="J120" s="12"/>
      <c r="K120" s="12"/>
      <c r="L120" s="12"/>
      <c r="M120" s="12"/>
      <c r="N120" s="12"/>
      <c r="O120" s="12"/>
      <c r="P120" s="13"/>
    </row>
    <row r="121" spans="2:16" ht="34.9" hidden="1" customHeight="1">
      <c r="B121" s="14">
        <v>41275</v>
      </c>
      <c r="C121" s="6">
        <f>47879.1+1067.4+1500</f>
        <v>50446.5</v>
      </c>
      <c r="D121" s="6">
        <v>912.8</v>
      </c>
      <c r="E121" s="6">
        <v>23837.8</v>
      </c>
      <c r="F121" s="6">
        <f>55197.6+736+615</f>
        <v>56548.6</v>
      </c>
      <c r="G121" s="7">
        <f t="shared" ref="G121:G127" si="14">SUM(C121:F121)</f>
        <v>131745.70000000001</v>
      </c>
      <c r="H121" s="6">
        <v>179</v>
      </c>
      <c r="I121" s="6">
        <v>478.2</v>
      </c>
      <c r="J121" s="6">
        <v>5427.8</v>
      </c>
      <c r="K121" s="6">
        <v>21821</v>
      </c>
      <c r="L121" s="6">
        <v>1459.6</v>
      </c>
      <c r="M121" s="6">
        <v>193.1</v>
      </c>
      <c r="N121" s="6">
        <v>3672.2</v>
      </c>
      <c r="O121" s="6">
        <v>4202.6000000000004</v>
      </c>
      <c r="P121" s="7">
        <f t="shared" ref="P121:P132" si="15">SUM(H121:O121)</f>
        <v>37433.499999999993</v>
      </c>
    </row>
    <row r="122" spans="2:16" ht="34.9" hidden="1" customHeight="1">
      <c r="B122" s="15">
        <v>41306</v>
      </c>
      <c r="C122" s="10">
        <f>13347.3+1860+1137.1+555.3+538.2</f>
        <v>17437.900000000001</v>
      </c>
      <c r="D122" s="10">
        <v>1145.0999999999999</v>
      </c>
      <c r="E122" s="10">
        <v>40734.6</v>
      </c>
      <c r="F122" s="10">
        <f>70022+969.9+986.1</f>
        <v>71978</v>
      </c>
      <c r="G122" s="11">
        <f t="shared" si="14"/>
        <v>131295.6</v>
      </c>
      <c r="H122" s="10">
        <v>429.3</v>
      </c>
      <c r="I122" s="10">
        <v>294</v>
      </c>
      <c r="J122" s="10">
        <v>4858.3</v>
      </c>
      <c r="K122" s="10">
        <v>20110.8</v>
      </c>
      <c r="L122" s="10">
        <v>1022.4</v>
      </c>
      <c r="M122" s="10">
        <v>178.7</v>
      </c>
      <c r="N122" s="10">
        <v>2973.9</v>
      </c>
      <c r="O122" s="10">
        <v>10381</v>
      </c>
      <c r="P122" s="11">
        <f t="shared" si="15"/>
        <v>40248.400000000009</v>
      </c>
    </row>
    <row r="123" spans="2:16" ht="34.9" hidden="1" customHeight="1">
      <c r="B123" s="14">
        <v>41334</v>
      </c>
      <c r="C123" s="6">
        <f>13933.9+18710.3+1653.3+9354+9352.2</f>
        <v>53003.7</v>
      </c>
      <c r="D123" s="6">
        <v>455.6</v>
      </c>
      <c r="E123" s="6">
        <v>102552.7</v>
      </c>
      <c r="F123" s="6">
        <f>143830.1+510+510+1955</f>
        <v>146805.1</v>
      </c>
      <c r="G123" s="7">
        <f t="shared" si="14"/>
        <v>302817.09999999998</v>
      </c>
      <c r="H123" s="6">
        <v>198</v>
      </c>
      <c r="I123" s="6">
        <v>566.20000000000005</v>
      </c>
      <c r="J123" s="6">
        <v>10351.299999999999</v>
      </c>
      <c r="K123" s="6">
        <f>27345.8+743</f>
        <v>28088.799999999999</v>
      </c>
      <c r="L123" s="6">
        <v>644.5</v>
      </c>
      <c r="M123" s="6">
        <v>157.5</v>
      </c>
      <c r="N123" s="6">
        <v>3940</v>
      </c>
      <c r="O123" s="6">
        <v>13499</v>
      </c>
      <c r="P123" s="7">
        <f t="shared" si="15"/>
        <v>57445.3</v>
      </c>
    </row>
    <row r="124" spans="2:16" ht="34.9" hidden="1" customHeight="1">
      <c r="B124" s="15">
        <v>41365</v>
      </c>
      <c r="C124" s="10">
        <f>16104.8+118264.9+376276.6</f>
        <v>510646.29999999993</v>
      </c>
      <c r="D124" s="10">
        <v>1730.5</v>
      </c>
      <c r="E124" s="10">
        <f>78340.3+752.5</f>
        <v>79092.800000000003</v>
      </c>
      <c r="F124" s="10">
        <f>158368.5+1375+550</f>
        <v>160293.5</v>
      </c>
      <c r="G124" s="11">
        <f t="shared" si="14"/>
        <v>751763.1</v>
      </c>
      <c r="H124" s="10">
        <v>390.5</v>
      </c>
      <c r="I124" s="10">
        <v>2294.1</v>
      </c>
      <c r="J124" s="10">
        <v>11798</v>
      </c>
      <c r="K124" s="10">
        <v>28094.2</v>
      </c>
      <c r="L124" s="10">
        <v>1711.6</v>
      </c>
      <c r="M124" s="10">
        <v>122.1</v>
      </c>
      <c r="N124" s="10">
        <v>6662.1</v>
      </c>
      <c r="O124" s="10">
        <v>4809.3999999999996</v>
      </c>
      <c r="P124" s="11">
        <f t="shared" si="15"/>
        <v>55882</v>
      </c>
    </row>
    <row r="125" spans="2:16" ht="34.9" hidden="1" customHeight="1">
      <c r="B125" s="14">
        <v>41395</v>
      </c>
      <c r="C125" s="6">
        <v>17476.099999999999</v>
      </c>
      <c r="D125" s="6">
        <v>334.5</v>
      </c>
      <c r="E125" s="6">
        <v>29197.5</v>
      </c>
      <c r="F125" s="6">
        <v>65890.399999999994</v>
      </c>
      <c r="G125" s="7">
        <f t="shared" si="14"/>
        <v>112898.5</v>
      </c>
      <c r="H125" s="6">
        <v>427.3</v>
      </c>
      <c r="I125" s="6">
        <v>6470.8</v>
      </c>
      <c r="J125" s="6">
        <v>8671.4</v>
      </c>
      <c r="K125" s="6">
        <v>21508.7</v>
      </c>
      <c r="L125" s="6">
        <v>720.6</v>
      </c>
      <c r="M125" s="6">
        <v>141.4</v>
      </c>
      <c r="N125" s="6">
        <v>3655.9</v>
      </c>
      <c r="O125" s="6">
        <v>3027.4</v>
      </c>
      <c r="P125" s="7">
        <f t="shared" si="15"/>
        <v>44623.5</v>
      </c>
    </row>
    <row r="126" spans="2:16" ht="34.9" hidden="1" customHeight="1">
      <c r="B126" s="15">
        <v>41426</v>
      </c>
      <c r="C126" s="10">
        <v>52929</v>
      </c>
      <c r="D126" s="10">
        <v>2079.1999999999998</v>
      </c>
      <c r="E126" s="10">
        <v>22947.8</v>
      </c>
      <c r="F126" s="10">
        <v>81285.899999999994</v>
      </c>
      <c r="G126" s="11">
        <f t="shared" si="14"/>
        <v>159241.9</v>
      </c>
      <c r="H126" s="10">
        <v>133.80000000000001</v>
      </c>
      <c r="I126" s="10">
        <v>977.3</v>
      </c>
      <c r="J126" s="10">
        <v>5076.7</v>
      </c>
      <c r="K126" s="10">
        <v>21356.7</v>
      </c>
      <c r="L126" s="10">
        <v>1309.5999999999999</v>
      </c>
      <c r="M126" s="10">
        <v>1783.5</v>
      </c>
      <c r="N126" s="10">
        <v>6971.9</v>
      </c>
      <c r="O126" s="10">
        <v>6534.6</v>
      </c>
      <c r="P126" s="11">
        <f t="shared" si="15"/>
        <v>44144.1</v>
      </c>
    </row>
    <row r="127" spans="2:16" ht="34.9" hidden="1" customHeight="1">
      <c r="B127" s="14">
        <v>41456</v>
      </c>
      <c r="C127" s="6">
        <v>19100.599999999999</v>
      </c>
      <c r="D127" s="6">
        <v>599.79999999999995</v>
      </c>
      <c r="E127" s="6">
        <f>16197.2+2289</f>
        <v>18486.2</v>
      </c>
      <c r="F127" s="6">
        <v>55943.3</v>
      </c>
      <c r="G127" s="7">
        <f t="shared" si="14"/>
        <v>94129.9</v>
      </c>
      <c r="H127" s="6">
        <v>69.5</v>
      </c>
      <c r="I127" s="6">
        <v>459.5</v>
      </c>
      <c r="J127" s="6">
        <v>2241.5</v>
      </c>
      <c r="K127" s="6">
        <v>7681.9</v>
      </c>
      <c r="L127" s="6">
        <v>3123.2</v>
      </c>
      <c r="M127" s="6">
        <v>65.7</v>
      </c>
      <c r="N127" s="6">
        <v>6426.6</v>
      </c>
      <c r="O127" s="6">
        <v>3486.1</v>
      </c>
      <c r="P127" s="7">
        <f t="shared" si="15"/>
        <v>23554</v>
      </c>
    </row>
    <row r="128" spans="2:16" ht="34.9" hidden="1" customHeight="1">
      <c r="B128" s="15">
        <v>41487</v>
      </c>
      <c r="C128" s="10">
        <v>17191.2</v>
      </c>
      <c r="D128" s="10">
        <v>214</v>
      </c>
      <c r="E128" s="10">
        <v>18918.900000000001</v>
      </c>
      <c r="F128" s="10">
        <v>43566.6</v>
      </c>
      <c r="G128" s="11">
        <v>79890.660999999993</v>
      </c>
      <c r="H128" s="10">
        <v>162.80000000000001</v>
      </c>
      <c r="I128" s="10">
        <v>736.9</v>
      </c>
      <c r="J128" s="10">
        <v>2267.3000000000002</v>
      </c>
      <c r="K128" s="10">
        <f>5519.1+803.3</f>
        <v>6322.4000000000005</v>
      </c>
      <c r="L128" s="10">
        <v>1899.1</v>
      </c>
      <c r="M128" s="10">
        <v>238</v>
      </c>
      <c r="N128" s="10">
        <v>1955.3</v>
      </c>
      <c r="O128" s="10">
        <v>3925.9</v>
      </c>
      <c r="P128" s="11">
        <f t="shared" si="15"/>
        <v>17507.7</v>
      </c>
    </row>
    <row r="129" spans="2:16" ht="34.9" hidden="1" customHeight="1">
      <c r="B129" s="14">
        <v>41518</v>
      </c>
      <c r="C129" s="6">
        <v>17247.3</v>
      </c>
      <c r="D129" s="6">
        <v>582.9</v>
      </c>
      <c r="E129" s="6">
        <v>20812.3</v>
      </c>
      <c r="F129" s="6">
        <v>58397.3</v>
      </c>
      <c r="G129" s="7">
        <f>SUM(C129:F129)</f>
        <v>97039.8</v>
      </c>
      <c r="H129" s="6">
        <v>445.2</v>
      </c>
      <c r="I129" s="6">
        <v>884.9</v>
      </c>
      <c r="J129" s="6">
        <v>4812.5</v>
      </c>
      <c r="K129" s="6">
        <v>8587.1</v>
      </c>
      <c r="L129" s="6">
        <v>904.9</v>
      </c>
      <c r="M129" s="6">
        <v>250.8</v>
      </c>
      <c r="N129" s="6">
        <v>2415.8000000000002</v>
      </c>
      <c r="O129" s="6">
        <v>6513.8</v>
      </c>
      <c r="P129" s="7">
        <f t="shared" si="15"/>
        <v>24815</v>
      </c>
    </row>
    <row r="130" spans="2:16" ht="34.9" hidden="1" customHeight="1">
      <c r="B130" s="15">
        <v>41548</v>
      </c>
      <c r="C130" s="10">
        <f>22012.4+553.4</f>
        <v>22565.800000000003</v>
      </c>
      <c r="D130" s="10">
        <v>2650.1</v>
      </c>
      <c r="E130" s="10">
        <v>19481.599999999999</v>
      </c>
      <c r="F130" s="10">
        <v>53242.8</v>
      </c>
      <c r="G130" s="11">
        <f>SUM(C130:F130)</f>
        <v>97940.3</v>
      </c>
      <c r="H130" s="10">
        <v>62.8</v>
      </c>
      <c r="I130" s="10">
        <v>333.7</v>
      </c>
      <c r="J130" s="10">
        <v>4453.3999999999996</v>
      </c>
      <c r="K130" s="10">
        <f>4953.3+812</f>
        <v>5765.3</v>
      </c>
      <c r="L130" s="10">
        <v>787.8</v>
      </c>
      <c r="M130" s="10">
        <v>106.4</v>
      </c>
      <c r="N130" s="10">
        <v>3048.3</v>
      </c>
      <c r="O130" s="10">
        <v>2975.9</v>
      </c>
      <c r="P130" s="11">
        <f t="shared" si="15"/>
        <v>17533.600000000002</v>
      </c>
    </row>
    <row r="131" spans="2:16" ht="34.9" hidden="1" customHeight="1">
      <c r="B131" s="14">
        <v>41579</v>
      </c>
      <c r="C131" s="6">
        <v>25741.1</v>
      </c>
      <c r="D131" s="6">
        <v>1059</v>
      </c>
      <c r="E131" s="6">
        <v>32659.599999999999</v>
      </c>
      <c r="F131" s="6">
        <v>54806.9</v>
      </c>
      <c r="G131" s="7">
        <f>SUM(C131:F131)</f>
        <v>114266.6</v>
      </c>
      <c r="H131" s="6">
        <v>458.5</v>
      </c>
      <c r="I131" s="6">
        <v>413.7</v>
      </c>
      <c r="J131" s="6">
        <v>6087.7</v>
      </c>
      <c r="K131" s="6">
        <f>6680.5+832.8</f>
        <v>7513.3</v>
      </c>
      <c r="L131" s="6">
        <v>440.5</v>
      </c>
      <c r="M131" s="6">
        <v>248.4</v>
      </c>
      <c r="N131" s="6">
        <v>2242.1</v>
      </c>
      <c r="O131" s="6">
        <v>4980.7</v>
      </c>
      <c r="P131" s="7">
        <f t="shared" si="15"/>
        <v>22384.9</v>
      </c>
    </row>
    <row r="132" spans="2:16" ht="34.9" hidden="1" customHeight="1">
      <c r="B132" s="15">
        <v>41609</v>
      </c>
      <c r="C132" s="10">
        <f>26961.4+35212.982</f>
        <v>62174.382000000005</v>
      </c>
      <c r="D132" s="10">
        <v>1942.3</v>
      </c>
      <c r="E132" s="10">
        <v>29554.6</v>
      </c>
      <c r="F132" s="10">
        <v>54738.7</v>
      </c>
      <c r="G132" s="11">
        <f>SUM(C132:F132)</f>
        <v>148409.98200000002</v>
      </c>
      <c r="H132" s="10">
        <v>78.599999999999994</v>
      </c>
      <c r="I132" s="10">
        <v>970.8</v>
      </c>
      <c r="J132" s="10">
        <v>5241</v>
      </c>
      <c r="K132" s="10">
        <v>5730.2</v>
      </c>
      <c r="L132" s="10">
        <v>3446.4</v>
      </c>
      <c r="M132" s="10">
        <v>75.7</v>
      </c>
      <c r="N132" s="10">
        <v>1941.5</v>
      </c>
      <c r="O132" s="10">
        <v>5064.1000000000004</v>
      </c>
      <c r="P132" s="11">
        <f t="shared" si="15"/>
        <v>22548.299999999996</v>
      </c>
    </row>
    <row r="133" spans="2:16" ht="34.9" hidden="1" customHeight="1">
      <c r="B133" s="3">
        <v>2014</v>
      </c>
      <c r="C133" s="12"/>
      <c r="D133" s="12"/>
      <c r="E133" s="12"/>
      <c r="F133" s="12"/>
      <c r="G133" s="13"/>
      <c r="H133" s="12"/>
      <c r="I133" s="12"/>
      <c r="J133" s="12"/>
      <c r="K133" s="12"/>
      <c r="L133" s="12"/>
      <c r="M133" s="12"/>
      <c r="N133" s="12"/>
      <c r="O133" s="12"/>
      <c r="P133" s="13"/>
    </row>
    <row r="134" spans="2:16" ht="34.9" hidden="1" customHeight="1">
      <c r="B134" s="14">
        <v>41640</v>
      </c>
      <c r="C134" s="6">
        <v>80409.3</v>
      </c>
      <c r="D134" s="6">
        <v>1147.2</v>
      </c>
      <c r="E134" s="6">
        <v>50246.7</v>
      </c>
      <c r="F134" s="6">
        <v>91299.3</v>
      </c>
      <c r="G134" s="7">
        <f t="shared" ref="G134:G145" si="16">SUM(C134:F134)</f>
        <v>223102.5</v>
      </c>
      <c r="H134" s="6">
        <v>171.6</v>
      </c>
      <c r="I134" s="6">
        <v>530.1</v>
      </c>
      <c r="J134" s="6">
        <v>8696</v>
      </c>
      <c r="K134" s="6">
        <v>14080.7</v>
      </c>
      <c r="L134" s="6">
        <v>710.7</v>
      </c>
      <c r="M134" s="6">
        <v>103.6</v>
      </c>
      <c r="N134" s="6">
        <v>3046.5</v>
      </c>
      <c r="O134" s="6">
        <f>7508.7+738.5</f>
        <v>8247.2000000000007</v>
      </c>
      <c r="P134" s="7">
        <f t="shared" ref="P134:P145" si="17">SUM(H134:O134)</f>
        <v>35586.400000000001</v>
      </c>
    </row>
    <row r="135" spans="2:16" ht="34.9" hidden="1" customHeight="1">
      <c r="B135" s="15">
        <v>41671</v>
      </c>
      <c r="C135" s="10">
        <f>68793.672+8500</f>
        <v>77293.672000000006</v>
      </c>
      <c r="D135" s="10">
        <f>5824.3+814</f>
        <v>6638.3</v>
      </c>
      <c r="E135" s="10">
        <v>33339.199999999997</v>
      </c>
      <c r="F135" s="10">
        <v>57494.1</v>
      </c>
      <c r="G135" s="11">
        <f t="shared" si="16"/>
        <v>174765.272</v>
      </c>
      <c r="H135" s="10">
        <v>418.6</v>
      </c>
      <c r="I135" s="10">
        <v>419.2</v>
      </c>
      <c r="J135" s="10">
        <v>6072</v>
      </c>
      <c r="K135" s="10">
        <v>9482.9</v>
      </c>
      <c r="L135" s="10">
        <v>1511.9</v>
      </c>
      <c r="M135" s="10">
        <v>247.2</v>
      </c>
      <c r="N135" s="10">
        <v>5095.8999999999996</v>
      </c>
      <c r="O135" s="10">
        <v>5133.3999999999996</v>
      </c>
      <c r="P135" s="11">
        <f t="shared" si="17"/>
        <v>28381.100000000006</v>
      </c>
    </row>
    <row r="136" spans="2:16" ht="34.9" hidden="1" customHeight="1">
      <c r="B136" s="14">
        <v>41699</v>
      </c>
      <c r="C136" s="6">
        <f>29238.4+4050</f>
        <v>33288.400000000001</v>
      </c>
      <c r="D136" s="6">
        <v>1017.9</v>
      </c>
      <c r="E136" s="6">
        <v>34008</v>
      </c>
      <c r="F136" s="6">
        <f>85495.8+11025.4+1200</f>
        <v>97721.2</v>
      </c>
      <c r="G136" s="7">
        <f t="shared" si="16"/>
        <v>166035.5</v>
      </c>
      <c r="H136" s="6">
        <v>872.1</v>
      </c>
      <c r="I136" s="6">
        <v>1894.4</v>
      </c>
      <c r="J136" s="6">
        <v>4254.3999999999996</v>
      </c>
      <c r="K136" s="6">
        <v>7211.9</v>
      </c>
      <c r="L136" s="6">
        <v>6209.7</v>
      </c>
      <c r="M136" s="6">
        <v>149.5</v>
      </c>
      <c r="N136" s="6">
        <v>3092.9</v>
      </c>
      <c r="O136" s="6">
        <v>3106</v>
      </c>
      <c r="P136" s="7">
        <f t="shared" si="17"/>
        <v>26790.9</v>
      </c>
    </row>
    <row r="137" spans="2:16" ht="34.9" hidden="1" customHeight="1">
      <c r="B137" s="15">
        <v>41730</v>
      </c>
      <c r="C137" s="10">
        <f>35554.5+145.1</f>
        <v>35699.599999999999</v>
      </c>
      <c r="D137" s="10">
        <f>1167.9+840</f>
        <v>2007.9</v>
      </c>
      <c r="E137" s="10">
        <v>32481.5</v>
      </c>
      <c r="F137" s="10">
        <f>62613.2+3032.1</f>
        <v>65645.3</v>
      </c>
      <c r="G137" s="11">
        <f t="shared" si="16"/>
        <v>135834.29999999999</v>
      </c>
      <c r="H137" s="10">
        <v>161.9</v>
      </c>
      <c r="I137" s="10">
        <v>443.6</v>
      </c>
      <c r="J137" s="10">
        <v>2519.9</v>
      </c>
      <c r="K137" s="10">
        <v>7692.5</v>
      </c>
      <c r="L137" s="10">
        <v>1112.3</v>
      </c>
      <c r="M137" s="10">
        <v>102.4</v>
      </c>
      <c r="N137" s="10">
        <v>1959.4</v>
      </c>
      <c r="O137" s="10">
        <v>10394.700000000001</v>
      </c>
      <c r="P137" s="11">
        <f t="shared" si="17"/>
        <v>24386.699999999997</v>
      </c>
    </row>
    <row r="138" spans="2:16" ht="34.9" hidden="1" customHeight="1">
      <c r="B138" s="14">
        <v>41760</v>
      </c>
      <c r="C138" s="6">
        <v>37699.5</v>
      </c>
      <c r="D138" s="6">
        <v>1115.2</v>
      </c>
      <c r="E138" s="6">
        <v>22706.7</v>
      </c>
      <c r="F138" s="6">
        <f>36292.2+504</f>
        <v>36796.199999999997</v>
      </c>
      <c r="G138" s="7">
        <f t="shared" si="16"/>
        <v>98317.599999999991</v>
      </c>
      <c r="H138" s="6">
        <v>546.79999999999995</v>
      </c>
      <c r="I138" s="6">
        <v>387.1</v>
      </c>
      <c r="J138" s="6">
        <v>1269</v>
      </c>
      <c r="K138" s="6">
        <v>11419.4</v>
      </c>
      <c r="L138" s="6">
        <v>789.9</v>
      </c>
      <c r="M138" s="6">
        <v>74.8</v>
      </c>
      <c r="N138" s="6">
        <v>1976.5</v>
      </c>
      <c r="O138" s="6">
        <v>2367.3000000000002</v>
      </c>
      <c r="P138" s="7">
        <f t="shared" si="17"/>
        <v>18830.8</v>
      </c>
    </row>
    <row r="139" spans="2:16" ht="34.9" hidden="1" customHeight="1">
      <c r="B139" s="15">
        <v>41791</v>
      </c>
      <c r="C139" s="10">
        <v>59302</v>
      </c>
      <c r="D139" s="10">
        <v>960.7</v>
      </c>
      <c r="E139" s="10">
        <v>27850.9</v>
      </c>
      <c r="F139" s="10">
        <v>51379.3</v>
      </c>
      <c r="G139" s="11">
        <f t="shared" si="16"/>
        <v>139492.90000000002</v>
      </c>
      <c r="H139" s="10">
        <v>6019.4</v>
      </c>
      <c r="I139" s="10">
        <v>512.9</v>
      </c>
      <c r="J139" s="10">
        <v>2062.1999999999998</v>
      </c>
      <c r="K139" s="10">
        <v>14445.4</v>
      </c>
      <c r="L139" s="10">
        <v>550.5</v>
      </c>
      <c r="M139" s="10">
        <v>222.1</v>
      </c>
      <c r="N139" s="10">
        <v>9155.9</v>
      </c>
      <c r="O139" s="10">
        <v>6969.9</v>
      </c>
      <c r="P139" s="11">
        <f t="shared" si="17"/>
        <v>39938.300000000003</v>
      </c>
    </row>
    <row r="140" spans="2:16" ht="34.9" hidden="1" customHeight="1">
      <c r="B140" s="14">
        <v>41821</v>
      </c>
      <c r="C140" s="6">
        <v>17548.231</v>
      </c>
      <c r="D140" s="6">
        <v>401.40499999999997</v>
      </c>
      <c r="E140" s="6">
        <v>10197.742</v>
      </c>
      <c r="F140" s="6">
        <v>37234.190999999999</v>
      </c>
      <c r="G140" s="7">
        <f t="shared" si="16"/>
        <v>65381.568999999996</v>
      </c>
      <c r="H140" s="6">
        <v>222.59100000000001</v>
      </c>
      <c r="I140" s="6">
        <v>1659.5239999999999</v>
      </c>
      <c r="J140" s="6">
        <f>540+1060</f>
        <v>1600</v>
      </c>
      <c r="K140" s="6">
        <v>10783.27</v>
      </c>
      <c r="L140" s="6">
        <v>161.155</v>
      </c>
      <c r="M140" s="6">
        <v>41.436999999999998</v>
      </c>
      <c r="N140" s="6">
        <v>3105.77</v>
      </c>
      <c r="O140" s="6">
        <v>1020.633</v>
      </c>
      <c r="P140" s="7">
        <f t="shared" si="17"/>
        <v>18594.38</v>
      </c>
    </row>
    <row r="141" spans="2:16" ht="34.9" hidden="1" customHeight="1">
      <c r="B141" s="15">
        <v>41852</v>
      </c>
      <c r="C141" s="10">
        <v>32461.896000000001</v>
      </c>
      <c r="D141" s="10">
        <v>1053.7529999999999</v>
      </c>
      <c r="E141" s="10">
        <v>11863.472</v>
      </c>
      <c r="F141" s="10">
        <v>33839.828000000001</v>
      </c>
      <c r="G141" s="11">
        <f t="shared" si="16"/>
        <v>79218.948999999993</v>
      </c>
      <c r="H141" s="10">
        <v>416.38799999999998</v>
      </c>
      <c r="I141" s="10">
        <v>570.64300000000003</v>
      </c>
      <c r="J141" s="10">
        <v>1405.722</v>
      </c>
      <c r="K141" s="10">
        <v>7134.7179999999998</v>
      </c>
      <c r="L141" s="10">
        <v>647.29999999999995</v>
      </c>
      <c r="M141" s="10">
        <v>48.284999999999997</v>
      </c>
      <c r="N141" s="10">
        <v>2473.3220000000001</v>
      </c>
      <c r="O141" s="10">
        <v>3661.5830000000001</v>
      </c>
      <c r="P141" s="11">
        <f t="shared" si="17"/>
        <v>16357.960999999999</v>
      </c>
    </row>
    <row r="142" spans="2:16" ht="34.9" hidden="1" customHeight="1">
      <c r="B142" s="14">
        <v>41883</v>
      </c>
      <c r="C142" s="6">
        <f>39804.8+4116.9</f>
        <v>43921.700000000004</v>
      </c>
      <c r="D142" s="6">
        <v>717</v>
      </c>
      <c r="E142" s="6">
        <v>17602.400000000001</v>
      </c>
      <c r="F142" s="6">
        <f>39393.3+1200</f>
        <v>40593.300000000003</v>
      </c>
      <c r="G142" s="7">
        <f t="shared" si="16"/>
        <v>102834.40000000001</v>
      </c>
      <c r="H142" s="6">
        <v>2858.5</v>
      </c>
      <c r="I142" s="6">
        <v>817.8</v>
      </c>
      <c r="J142" s="6">
        <v>3008.1</v>
      </c>
      <c r="K142" s="6">
        <f>15082+576</f>
        <v>15658</v>
      </c>
      <c r="L142" s="6">
        <v>304.60000000000002</v>
      </c>
      <c r="M142" s="6">
        <v>103.2</v>
      </c>
      <c r="N142" s="6">
        <v>3708.8</v>
      </c>
      <c r="O142" s="6">
        <v>3554</v>
      </c>
      <c r="P142" s="7">
        <f t="shared" si="17"/>
        <v>30013</v>
      </c>
    </row>
    <row r="143" spans="2:16" ht="34.9" hidden="1" customHeight="1">
      <c r="B143" s="15">
        <v>41913</v>
      </c>
      <c r="C143" s="10">
        <v>28864.5</v>
      </c>
      <c r="D143" s="10">
        <v>1668.5</v>
      </c>
      <c r="E143" s="10">
        <v>17253.2</v>
      </c>
      <c r="F143" s="10">
        <f>39840.2+660</f>
        <v>40500.199999999997</v>
      </c>
      <c r="G143" s="11">
        <f t="shared" si="16"/>
        <v>88286.399999999994</v>
      </c>
      <c r="H143" s="10">
        <v>307.3</v>
      </c>
      <c r="I143" s="10">
        <v>247</v>
      </c>
      <c r="J143" s="10">
        <v>8999.4</v>
      </c>
      <c r="K143" s="10">
        <v>6044.4</v>
      </c>
      <c r="L143" s="10">
        <v>678.9</v>
      </c>
      <c r="M143" s="10">
        <v>70.900000000000006</v>
      </c>
      <c r="N143" s="10">
        <v>2681</v>
      </c>
      <c r="O143" s="10">
        <v>2228.1</v>
      </c>
      <c r="P143" s="11">
        <f t="shared" si="17"/>
        <v>21256.999999999996</v>
      </c>
    </row>
    <row r="144" spans="2:16" ht="34.9" hidden="1" customHeight="1">
      <c r="B144" s="14">
        <v>41944</v>
      </c>
      <c r="C144" s="6">
        <v>23817.8</v>
      </c>
      <c r="D144" s="6">
        <v>1783.2</v>
      </c>
      <c r="E144" s="6">
        <f>21827.5+1290+1912.4+1912.4+1290</f>
        <v>28232.300000000003</v>
      </c>
      <c r="F144" s="6">
        <v>41762.699999999997</v>
      </c>
      <c r="G144" s="7">
        <f t="shared" si="16"/>
        <v>95596</v>
      </c>
      <c r="H144" s="6">
        <f>132.6+683.1</f>
        <v>815.7</v>
      </c>
      <c r="I144" s="6">
        <v>529</v>
      </c>
      <c r="J144" s="6">
        <v>7566.8</v>
      </c>
      <c r="K144" s="6">
        <v>12641.6</v>
      </c>
      <c r="L144" s="6">
        <v>1585.5</v>
      </c>
      <c r="M144" s="6">
        <v>22.3</v>
      </c>
      <c r="N144" s="6">
        <v>6240.2</v>
      </c>
      <c r="O144" s="6">
        <v>6506.9</v>
      </c>
      <c r="P144" s="7">
        <f t="shared" si="17"/>
        <v>35908</v>
      </c>
    </row>
    <row r="145" spans="2:16" ht="34.9" hidden="1" customHeight="1">
      <c r="B145" s="15">
        <v>41974</v>
      </c>
      <c r="C145" s="10">
        <f>29138.1+617.5+771.4+3722.9</f>
        <v>34249.9</v>
      </c>
      <c r="D145" s="10">
        <v>1414.7</v>
      </c>
      <c r="E145" s="10">
        <v>28516.7</v>
      </c>
      <c r="F145" s="10">
        <f>77247.7+552</f>
        <v>77799.7</v>
      </c>
      <c r="G145" s="11">
        <f t="shared" si="16"/>
        <v>141981</v>
      </c>
      <c r="H145" s="10">
        <v>271.60000000000002</v>
      </c>
      <c r="I145" s="10">
        <v>838</v>
      </c>
      <c r="J145" s="10">
        <v>17767.7</v>
      </c>
      <c r="K145" s="10">
        <v>41619</v>
      </c>
      <c r="L145" s="10">
        <v>2522.5</v>
      </c>
      <c r="M145" s="10">
        <v>243.4</v>
      </c>
      <c r="N145" s="10">
        <v>8191.1</v>
      </c>
      <c r="O145" s="10">
        <v>5965.7</v>
      </c>
      <c r="P145" s="11">
        <f t="shared" si="17"/>
        <v>77419</v>
      </c>
    </row>
    <row r="146" spans="2:16" ht="34.9" hidden="1" customHeight="1">
      <c r="B146" s="3">
        <v>2015</v>
      </c>
      <c r="C146" s="12"/>
      <c r="D146" s="12"/>
      <c r="E146" s="12"/>
      <c r="F146" s="12"/>
      <c r="G146" s="13"/>
      <c r="H146" s="12"/>
      <c r="I146" s="12"/>
      <c r="J146" s="12"/>
      <c r="K146" s="12"/>
      <c r="L146" s="12"/>
      <c r="M146" s="12"/>
      <c r="N146" s="12"/>
      <c r="O146" s="12"/>
      <c r="P146" s="13"/>
    </row>
    <row r="147" spans="2:16" ht="34.9" hidden="1" customHeight="1">
      <c r="B147" s="14">
        <v>42005</v>
      </c>
      <c r="C147" s="6">
        <f>12003.1+5575.9</f>
        <v>17579</v>
      </c>
      <c r="D147" s="6">
        <v>933.1</v>
      </c>
      <c r="E147" s="6">
        <v>11927.4</v>
      </c>
      <c r="F147" s="6">
        <f>78132.7+1182+663+332.5+245.7+663+663+244.4</f>
        <v>82126.299999999988</v>
      </c>
      <c r="G147" s="7">
        <f t="shared" ref="G147:G154" si="18">SUM(C147:F147)</f>
        <v>112565.79999999999</v>
      </c>
      <c r="H147" s="6">
        <v>100.7</v>
      </c>
      <c r="I147" s="6">
        <v>215.9</v>
      </c>
      <c r="J147" s="6">
        <v>4976.8999999999996</v>
      </c>
      <c r="K147" s="6">
        <f>32110.5+272.5</f>
        <v>32383</v>
      </c>
      <c r="L147" s="6">
        <v>202.7</v>
      </c>
      <c r="M147" s="6">
        <v>19.7</v>
      </c>
      <c r="N147" s="6">
        <v>1692</v>
      </c>
      <c r="O147" s="6">
        <v>3282.4</v>
      </c>
      <c r="P147" s="7">
        <f t="shared" ref="P147:P154" si="19">SUM(H147:O147)</f>
        <v>42873.299999999996</v>
      </c>
    </row>
    <row r="148" spans="2:16" ht="34.9" hidden="1" customHeight="1">
      <c r="B148" s="15">
        <v>42036</v>
      </c>
      <c r="C148" s="10">
        <v>18396</v>
      </c>
      <c r="D148" s="10">
        <v>748.7</v>
      </c>
      <c r="E148" s="10">
        <v>18737.8</v>
      </c>
      <c r="F148" s="10">
        <f>98728.9+669.7+685+203.5+495+206.2+503.5+662.3+681.3</f>
        <v>102835.4</v>
      </c>
      <c r="G148" s="11">
        <f t="shared" si="18"/>
        <v>140717.9</v>
      </c>
      <c r="H148" s="10">
        <v>129.1</v>
      </c>
      <c r="I148" s="10">
        <v>423.5</v>
      </c>
      <c r="J148" s="10">
        <v>5099.3</v>
      </c>
      <c r="K148" s="10">
        <f>30740+200</f>
        <v>30940</v>
      </c>
      <c r="L148" s="10">
        <v>405.4</v>
      </c>
      <c r="M148" s="10">
        <v>51.2</v>
      </c>
      <c r="N148" s="10">
        <v>14418.6</v>
      </c>
      <c r="O148" s="10">
        <v>6220.4</v>
      </c>
      <c r="P148" s="11">
        <f t="shared" si="19"/>
        <v>57687.5</v>
      </c>
    </row>
    <row r="149" spans="2:16" ht="34.9" hidden="1" customHeight="1">
      <c r="B149" s="14">
        <v>42064</v>
      </c>
      <c r="C149" s="6">
        <v>15927</v>
      </c>
      <c r="D149" s="6">
        <v>881.7</v>
      </c>
      <c r="E149" s="6">
        <v>19040.900000000001</v>
      </c>
      <c r="F149" s="6">
        <f>88596.7+692.5+212.5+260+740+2960</f>
        <v>93461.7</v>
      </c>
      <c r="G149" s="7">
        <f t="shared" si="18"/>
        <v>129311.3</v>
      </c>
      <c r="H149" s="6">
        <v>241.8</v>
      </c>
      <c r="I149" s="6">
        <v>1238.5</v>
      </c>
      <c r="J149" s="6">
        <v>13022.9</v>
      </c>
      <c r="K149" s="6">
        <f>26766.4+720</f>
        <v>27486.400000000001</v>
      </c>
      <c r="L149" s="6">
        <v>325.8</v>
      </c>
      <c r="M149" s="6">
        <v>85</v>
      </c>
      <c r="N149" s="6">
        <v>8520</v>
      </c>
      <c r="O149" s="6">
        <f>4670.5+2065+885</f>
        <v>7620.5</v>
      </c>
      <c r="P149" s="7">
        <f t="shared" si="19"/>
        <v>58540.9</v>
      </c>
    </row>
    <row r="150" spans="2:16" ht="34.9" hidden="1" customHeight="1">
      <c r="B150" s="15">
        <v>42095</v>
      </c>
      <c r="C150" s="10">
        <f>21524.4+1075.2</f>
        <v>22599.600000000002</v>
      </c>
      <c r="D150" s="10">
        <v>11063.6</v>
      </c>
      <c r="E150" s="10">
        <v>11010</v>
      </c>
      <c r="F150" s="10">
        <f>80985.1+219.4+350.5+331.2+308+336.7+240+328.4+306+336.7+342.2+328.5</f>
        <v>84412.699999999983</v>
      </c>
      <c r="G150" s="11">
        <f t="shared" si="18"/>
        <v>129085.9</v>
      </c>
      <c r="H150" s="10">
        <v>249.2</v>
      </c>
      <c r="I150" s="10">
        <v>383.3</v>
      </c>
      <c r="J150" s="10">
        <v>7880.9</v>
      </c>
      <c r="K150" s="10">
        <f>12669.3+657.5+670</f>
        <v>13996.8</v>
      </c>
      <c r="L150" s="10">
        <v>621.70000000000005</v>
      </c>
      <c r="M150" s="10">
        <v>187.3</v>
      </c>
      <c r="N150" s="10">
        <v>13029.2</v>
      </c>
      <c r="O150" s="10">
        <v>12278.2</v>
      </c>
      <c r="P150" s="11">
        <f t="shared" si="19"/>
        <v>48626.599999999991</v>
      </c>
    </row>
    <row r="151" spans="2:16" ht="34.9" hidden="1" customHeight="1">
      <c r="B151" s="14">
        <v>42125</v>
      </c>
      <c r="C151" s="6">
        <v>25527.9</v>
      </c>
      <c r="D151" s="6">
        <v>923.4</v>
      </c>
      <c r="E151" s="6">
        <v>10657.4</v>
      </c>
      <c r="F151" s="6">
        <f>88487.6+824.3+214.2+240+316.2+333.2+319.6+376+296.7</f>
        <v>91407.8</v>
      </c>
      <c r="G151" s="7">
        <f t="shared" si="18"/>
        <v>128516.5</v>
      </c>
      <c r="H151" s="6">
        <v>365.2</v>
      </c>
      <c r="I151" s="6">
        <v>155.80000000000001</v>
      </c>
      <c r="J151" s="6">
        <v>894</v>
      </c>
      <c r="K151" s="6">
        <f>10110.7+617.5+623</f>
        <v>11351.2</v>
      </c>
      <c r="L151" s="6">
        <v>331.8</v>
      </c>
      <c r="M151" s="6">
        <v>58.1</v>
      </c>
      <c r="N151" s="6">
        <v>18079.5</v>
      </c>
      <c r="O151" s="6">
        <v>1313.1</v>
      </c>
      <c r="P151" s="7">
        <f t="shared" si="19"/>
        <v>32548.699999999997</v>
      </c>
    </row>
    <row r="152" spans="2:16" ht="34.9" hidden="1" customHeight="1">
      <c r="B152" s="15">
        <v>42156</v>
      </c>
      <c r="C152" s="10">
        <f>27583.6+221.2</f>
        <v>27804.799999999999</v>
      </c>
      <c r="D152" s="10">
        <f>2531.2+925</f>
        <v>3456.2</v>
      </c>
      <c r="E152" s="10">
        <f>38143.3+6480.3</f>
        <v>44623.600000000006</v>
      </c>
      <c r="F152" s="10">
        <f>107246.6+4375.8</f>
        <v>111622.40000000001</v>
      </c>
      <c r="G152" s="11">
        <f t="shared" si="18"/>
        <v>187507</v>
      </c>
      <c r="H152" s="10">
        <v>4366.3</v>
      </c>
      <c r="I152" s="10">
        <v>7002.7</v>
      </c>
      <c r="J152" s="10">
        <f>676.2+7750+3815.2+850</f>
        <v>13091.400000000001</v>
      </c>
      <c r="K152" s="10">
        <f>11553.5+1013.3</f>
        <v>12566.8</v>
      </c>
      <c r="L152" s="10">
        <v>254.2</v>
      </c>
      <c r="M152" s="10">
        <v>57.1</v>
      </c>
      <c r="N152" s="10">
        <v>11264</v>
      </c>
      <c r="O152" s="10">
        <v>1582.1</v>
      </c>
      <c r="P152" s="11">
        <f t="shared" si="19"/>
        <v>50184.599999999991</v>
      </c>
    </row>
    <row r="153" spans="2:16" ht="34.9" hidden="1" customHeight="1">
      <c r="B153" s="14">
        <v>42186</v>
      </c>
      <c r="C153" s="6">
        <f>12650.2+4519.2</f>
        <v>17169.400000000001</v>
      </c>
      <c r="D153" s="6">
        <v>3580</v>
      </c>
      <c r="E153" s="6">
        <f>45932.9+250+114.3</f>
        <v>46297.200000000004</v>
      </c>
      <c r="F153" s="6">
        <f>100349.8+121346.5</f>
        <v>221696.3</v>
      </c>
      <c r="G153" s="7">
        <f t="shared" si="18"/>
        <v>288742.90000000002</v>
      </c>
      <c r="H153" s="6">
        <v>408</v>
      </c>
      <c r="I153" s="6">
        <v>223.5</v>
      </c>
      <c r="J153" s="6">
        <v>686.5</v>
      </c>
      <c r="K153" s="6">
        <f>4508.1+231</f>
        <v>4739.1000000000004</v>
      </c>
      <c r="L153" s="6">
        <v>211.2</v>
      </c>
      <c r="M153" s="6">
        <v>41.8</v>
      </c>
      <c r="N153" s="6">
        <v>8866</v>
      </c>
      <c r="O153" s="6">
        <f>33192.3+220468.6</f>
        <v>253660.90000000002</v>
      </c>
      <c r="P153" s="7">
        <f t="shared" si="19"/>
        <v>268837</v>
      </c>
    </row>
    <row r="154" spans="2:16" ht="34.9" hidden="1" customHeight="1">
      <c r="B154" s="15">
        <v>42217</v>
      </c>
      <c r="C154" s="10">
        <v>41824.129000000001</v>
      </c>
      <c r="D154" s="10">
        <v>1332.6880000000001</v>
      </c>
      <c r="E154" s="10">
        <v>59004.805</v>
      </c>
      <c r="F154" s="10">
        <v>145696.05900000001</v>
      </c>
      <c r="G154" s="11">
        <f t="shared" si="18"/>
        <v>247857.68100000001</v>
      </c>
      <c r="H154" s="10">
        <v>315.40199999999999</v>
      </c>
      <c r="I154" s="10">
        <v>902.85900000000004</v>
      </c>
      <c r="J154" s="10">
        <v>617.71299999999997</v>
      </c>
      <c r="K154" s="10">
        <v>11438.135</v>
      </c>
      <c r="L154" s="10">
        <v>740.95600000000002</v>
      </c>
      <c r="M154" s="10">
        <v>31.757999999999999</v>
      </c>
      <c r="N154" s="10">
        <v>9966.1630000000005</v>
      </c>
      <c r="O154" s="10">
        <v>9676.8070000000007</v>
      </c>
      <c r="P154" s="11">
        <f t="shared" si="19"/>
        <v>33689.793000000005</v>
      </c>
    </row>
    <row r="155" spans="2:16" ht="34.9" hidden="1" customHeight="1">
      <c r="B155" s="14">
        <v>42248</v>
      </c>
      <c r="C155" s="6">
        <v>23062.2</v>
      </c>
      <c r="D155" s="6">
        <v>1213.0999999999999</v>
      </c>
      <c r="E155" s="6">
        <v>32347.7</v>
      </c>
      <c r="F155" s="6">
        <v>96916.6</v>
      </c>
      <c r="G155" s="7">
        <v>153539.6</v>
      </c>
      <c r="H155" s="6">
        <v>2061.3000000000002</v>
      </c>
      <c r="I155" s="6">
        <v>286.60000000000002</v>
      </c>
      <c r="J155" s="6">
        <v>689.6</v>
      </c>
      <c r="K155" s="6">
        <v>16129.6</v>
      </c>
      <c r="L155" s="6">
        <v>490.4</v>
      </c>
      <c r="M155" s="6">
        <v>197</v>
      </c>
      <c r="N155" s="6">
        <v>6695.4</v>
      </c>
      <c r="O155" s="6">
        <v>1217.0999999999999</v>
      </c>
      <c r="P155" s="7">
        <v>27766.9</v>
      </c>
    </row>
    <row r="156" spans="2:16" ht="34.9" hidden="1" customHeight="1">
      <c r="B156" s="15">
        <v>42278</v>
      </c>
      <c r="C156" s="10">
        <v>27731.206999999999</v>
      </c>
      <c r="D156" s="10">
        <v>1056.0409999999999</v>
      </c>
      <c r="E156" s="10">
        <v>35222.701999999997</v>
      </c>
      <c r="F156" s="10">
        <v>110984.54700000001</v>
      </c>
      <c r="G156" s="11">
        <f>SUM(C156:F156)</f>
        <v>174994.497</v>
      </c>
      <c r="H156" s="10">
        <v>4514.8249999999998</v>
      </c>
      <c r="I156" s="10">
        <v>990.54100000000005</v>
      </c>
      <c r="J156" s="10">
        <v>2139.4749999999999</v>
      </c>
      <c r="K156" s="10">
        <v>13200.271000000001</v>
      </c>
      <c r="L156" s="10">
        <v>681.94600000000003</v>
      </c>
      <c r="M156" s="10">
        <v>106.92</v>
      </c>
      <c r="N156" s="10">
        <v>7247</v>
      </c>
      <c r="O156" s="10">
        <v>1780.51</v>
      </c>
      <c r="P156" s="11">
        <f>SUM(H156:O156)</f>
        <v>30661.487999999998</v>
      </c>
    </row>
    <row r="157" spans="2:16" ht="34.9" hidden="1" customHeight="1">
      <c r="B157" s="14">
        <v>42309</v>
      </c>
      <c r="C157" s="6">
        <v>12354.342000000001</v>
      </c>
      <c r="D157" s="6">
        <v>4016.2020000000002</v>
      </c>
      <c r="E157" s="6">
        <v>29338.866000000002</v>
      </c>
      <c r="F157" s="6">
        <v>44803.938999999998</v>
      </c>
      <c r="G157" s="7">
        <f>SUM(C157:F157)</f>
        <v>90513.349000000002</v>
      </c>
      <c r="H157" s="6">
        <v>1713.1659999999999</v>
      </c>
      <c r="I157" s="6">
        <v>311.428</v>
      </c>
      <c r="J157" s="6">
        <v>733.58100000000002</v>
      </c>
      <c r="K157" s="6">
        <v>11340.915999999999</v>
      </c>
      <c r="L157" s="6">
        <v>1849.846</v>
      </c>
      <c r="M157" s="6">
        <v>15.872</v>
      </c>
      <c r="N157" s="6">
        <v>4203.8440000000001</v>
      </c>
      <c r="O157" s="6">
        <v>11930.753000000001</v>
      </c>
      <c r="P157" s="7">
        <f>SUM(H157:O157)</f>
        <v>32099.405999999999</v>
      </c>
    </row>
    <row r="158" spans="2:16" ht="34.9" hidden="1" customHeight="1">
      <c r="B158" s="15">
        <v>42339</v>
      </c>
      <c r="C158" s="10">
        <v>472660.7</v>
      </c>
      <c r="D158" s="10">
        <v>6413</v>
      </c>
      <c r="E158" s="10">
        <v>30925.1</v>
      </c>
      <c r="F158" s="10">
        <v>47592</v>
      </c>
      <c r="G158" s="11">
        <f>SUM(C158:F158)</f>
        <v>557590.80000000005</v>
      </c>
      <c r="H158" s="10">
        <v>13074.5</v>
      </c>
      <c r="I158" s="10">
        <v>1203.2</v>
      </c>
      <c r="J158" s="10">
        <v>1194.3</v>
      </c>
      <c r="K158" s="10">
        <v>13125.3</v>
      </c>
      <c r="L158" s="10">
        <v>9186.9</v>
      </c>
      <c r="M158" s="10">
        <v>129.6</v>
      </c>
      <c r="N158" s="10">
        <v>6400.7</v>
      </c>
      <c r="O158" s="10">
        <v>1742.3</v>
      </c>
      <c r="P158" s="11">
        <f>SUM(H158:O158)</f>
        <v>46056.799999999996</v>
      </c>
    </row>
    <row r="159" spans="2:16" ht="34.9" hidden="1" customHeight="1">
      <c r="B159" s="3">
        <v>2016</v>
      </c>
      <c r="C159" s="12"/>
      <c r="D159" s="12"/>
      <c r="E159" s="12"/>
      <c r="F159" s="12"/>
      <c r="G159" s="13"/>
      <c r="H159" s="12"/>
      <c r="I159" s="12"/>
      <c r="J159" s="12"/>
      <c r="K159" s="12"/>
      <c r="L159" s="12"/>
      <c r="M159" s="12"/>
      <c r="N159" s="12"/>
      <c r="O159" s="12"/>
      <c r="P159" s="13"/>
    </row>
    <row r="160" spans="2:16" ht="34.9" hidden="1" customHeight="1">
      <c r="B160" s="14">
        <v>42370</v>
      </c>
      <c r="C160" s="6">
        <v>24169.1</v>
      </c>
      <c r="D160" s="6">
        <v>317.3</v>
      </c>
      <c r="E160" s="6">
        <v>39479.599999999999</v>
      </c>
      <c r="F160" s="6">
        <v>52607.6</v>
      </c>
      <c r="G160" s="7">
        <f t="shared" ref="G160:G171" si="20">SUM(C160:F160)</f>
        <v>116573.6</v>
      </c>
      <c r="H160" s="6">
        <v>2247.6</v>
      </c>
      <c r="I160" s="6">
        <v>333.4</v>
      </c>
      <c r="J160" s="6">
        <v>3076.6</v>
      </c>
      <c r="K160" s="6">
        <v>29343.4</v>
      </c>
      <c r="L160" s="6">
        <v>806.1</v>
      </c>
      <c r="M160" s="6">
        <v>292.7</v>
      </c>
      <c r="N160" s="6">
        <v>6826.2</v>
      </c>
      <c r="O160" s="6">
        <v>2472.3000000000002</v>
      </c>
      <c r="P160" s="7">
        <f t="shared" ref="P160:P171" si="21">SUM(H160:O160)</f>
        <v>45398.299999999996</v>
      </c>
    </row>
    <row r="161" spans="2:16" ht="34.9" hidden="1" customHeight="1">
      <c r="B161" s="15">
        <v>42401</v>
      </c>
      <c r="C161" s="10">
        <v>63331.171999999999</v>
      </c>
      <c r="D161" s="10">
        <v>571.928</v>
      </c>
      <c r="E161" s="10">
        <v>30597.124</v>
      </c>
      <c r="F161" s="10">
        <v>46988.648999999998</v>
      </c>
      <c r="G161" s="11">
        <f t="shared" si="20"/>
        <v>141488.87299999999</v>
      </c>
      <c r="H161" s="10">
        <v>643.83600000000001</v>
      </c>
      <c r="I161" s="10">
        <v>1153.4829999999999</v>
      </c>
      <c r="J161" s="10">
        <v>7564.09</v>
      </c>
      <c r="K161" s="10">
        <v>19850.151000000002</v>
      </c>
      <c r="L161" s="10">
        <v>321.786</v>
      </c>
      <c r="M161" s="10">
        <v>509.51600000000002</v>
      </c>
      <c r="N161" s="10">
        <v>5242.0789999999997</v>
      </c>
      <c r="O161" s="10">
        <v>1799.1189999999999</v>
      </c>
      <c r="P161" s="11">
        <f t="shared" si="21"/>
        <v>37084.06</v>
      </c>
    </row>
    <row r="162" spans="2:16" ht="34.9" hidden="1" customHeight="1">
      <c r="B162" s="14">
        <v>42430</v>
      </c>
      <c r="C162" s="6">
        <v>69142.331000000006</v>
      </c>
      <c r="D162" s="6">
        <v>271.92</v>
      </c>
      <c r="E162" s="6">
        <v>30768.870999999999</v>
      </c>
      <c r="F162" s="6">
        <v>63613.103000000003</v>
      </c>
      <c r="G162" s="7">
        <f t="shared" si="20"/>
        <v>163796.22500000001</v>
      </c>
      <c r="H162" s="6">
        <v>3622.5039999999999</v>
      </c>
      <c r="I162" s="6">
        <v>1755.5150000000001</v>
      </c>
      <c r="J162" s="6">
        <v>4863.7520000000004</v>
      </c>
      <c r="K162" s="6">
        <v>17914.056</v>
      </c>
      <c r="L162" s="6">
        <v>490.74400000000003</v>
      </c>
      <c r="M162" s="6">
        <v>115.345</v>
      </c>
      <c r="N162" s="6">
        <v>9717.732</v>
      </c>
      <c r="O162" s="6">
        <v>1234.7460000000001</v>
      </c>
      <c r="P162" s="7">
        <f t="shared" si="21"/>
        <v>39714.394</v>
      </c>
    </row>
    <row r="163" spans="2:16" ht="34.9" hidden="1" customHeight="1">
      <c r="B163" s="15">
        <v>42461</v>
      </c>
      <c r="C163" s="10">
        <v>31722.6</v>
      </c>
      <c r="D163" s="10">
        <v>1237.3</v>
      </c>
      <c r="E163" s="10">
        <v>13053.6</v>
      </c>
      <c r="F163" s="10">
        <v>44260.9</v>
      </c>
      <c r="G163" s="11">
        <f t="shared" si="20"/>
        <v>90274.4</v>
      </c>
      <c r="H163" s="10">
        <v>746.2</v>
      </c>
      <c r="I163" s="10">
        <v>7173.4</v>
      </c>
      <c r="J163" s="10">
        <v>1180</v>
      </c>
      <c r="K163" s="10">
        <v>10692.7</v>
      </c>
      <c r="L163" s="10">
        <v>77</v>
      </c>
      <c r="M163" s="10">
        <v>31.2</v>
      </c>
      <c r="N163" s="10">
        <v>8911.9</v>
      </c>
      <c r="O163" s="10">
        <v>12799.3</v>
      </c>
      <c r="P163" s="11">
        <f t="shared" si="21"/>
        <v>41611.699999999997</v>
      </c>
    </row>
    <row r="164" spans="2:16" ht="34.9" hidden="1" customHeight="1">
      <c r="B164" s="14">
        <v>42491</v>
      </c>
      <c r="C164" s="6">
        <v>25455.5</v>
      </c>
      <c r="D164" s="6">
        <v>1337.7</v>
      </c>
      <c r="E164" s="6">
        <v>17058.599999999999</v>
      </c>
      <c r="F164" s="6">
        <v>49195.8</v>
      </c>
      <c r="G164" s="7">
        <f t="shared" si="20"/>
        <v>93047.6</v>
      </c>
      <c r="H164" s="6">
        <v>191.5</v>
      </c>
      <c r="I164" s="6">
        <v>27868.1</v>
      </c>
      <c r="J164" s="6">
        <v>1873.2</v>
      </c>
      <c r="K164" s="6">
        <v>6969.9</v>
      </c>
      <c r="L164" s="6">
        <v>158.5</v>
      </c>
      <c r="M164" s="6">
        <v>22.1</v>
      </c>
      <c r="N164" s="6">
        <v>3730.9</v>
      </c>
      <c r="O164" s="6">
        <v>3007.1</v>
      </c>
      <c r="P164" s="7">
        <f t="shared" si="21"/>
        <v>43821.299999999996</v>
      </c>
    </row>
    <row r="165" spans="2:16" ht="34.9" hidden="1" customHeight="1">
      <c r="B165" s="15">
        <v>42522</v>
      </c>
      <c r="C165" s="10">
        <v>33880.161</v>
      </c>
      <c r="D165" s="10">
        <v>576.17999999999995</v>
      </c>
      <c r="E165" s="10">
        <v>21642.491999999998</v>
      </c>
      <c r="F165" s="10">
        <v>35989.953999999998</v>
      </c>
      <c r="G165" s="11">
        <f t="shared" si="20"/>
        <v>92088.786999999997</v>
      </c>
      <c r="H165" s="10">
        <v>413.70800000000003</v>
      </c>
      <c r="I165" s="10">
        <v>866.88800000000003</v>
      </c>
      <c r="J165" s="10">
        <v>2649.0189999999998</v>
      </c>
      <c r="K165" s="10">
        <v>10173.467000000001</v>
      </c>
      <c r="L165" s="10">
        <v>116.658</v>
      </c>
      <c r="M165" s="10">
        <v>12.868</v>
      </c>
      <c r="N165" s="10">
        <v>5222.8339999999998</v>
      </c>
      <c r="O165" s="10">
        <v>2954.8240000000001</v>
      </c>
      <c r="P165" s="11">
        <f t="shared" si="21"/>
        <v>22410.266</v>
      </c>
    </row>
    <row r="166" spans="2:16" ht="34.9" hidden="1" customHeight="1">
      <c r="B166" s="14">
        <v>42552</v>
      </c>
      <c r="C166" s="6">
        <v>22281.753000000001</v>
      </c>
      <c r="D166" s="6">
        <v>683.89200000000005</v>
      </c>
      <c r="E166" s="6">
        <v>17731.57</v>
      </c>
      <c r="F166" s="6">
        <v>25074.935000000001</v>
      </c>
      <c r="G166" s="7">
        <f t="shared" si="20"/>
        <v>65772.149999999994</v>
      </c>
      <c r="H166" s="6">
        <v>311.15699999999998</v>
      </c>
      <c r="I166" s="6">
        <v>892.19399999999996</v>
      </c>
      <c r="J166" s="6">
        <v>3708.5410000000002</v>
      </c>
      <c r="K166" s="6">
        <v>11542.643</v>
      </c>
      <c r="L166" s="6">
        <v>120.964</v>
      </c>
      <c r="M166" s="6">
        <v>14.05</v>
      </c>
      <c r="N166" s="6">
        <v>2672.9540000000002</v>
      </c>
      <c r="O166" s="6">
        <v>1353.857</v>
      </c>
      <c r="P166" s="7">
        <f t="shared" si="21"/>
        <v>20616.36</v>
      </c>
    </row>
    <row r="167" spans="2:16" ht="34.9" hidden="1" customHeight="1">
      <c r="B167" s="15">
        <v>42583</v>
      </c>
      <c r="C167" s="10">
        <v>23521.981</v>
      </c>
      <c r="D167" s="10">
        <v>549.21100000000001</v>
      </c>
      <c r="E167" s="10">
        <v>21511.473999999998</v>
      </c>
      <c r="F167" s="10">
        <v>47052.925000000003</v>
      </c>
      <c r="G167" s="11">
        <f t="shared" si="20"/>
        <v>92635.591</v>
      </c>
      <c r="H167" s="10">
        <v>104.542</v>
      </c>
      <c r="I167" s="10">
        <v>1035.223</v>
      </c>
      <c r="J167" s="10">
        <v>10334.527</v>
      </c>
      <c r="K167" s="10">
        <v>10798.607</v>
      </c>
      <c r="L167" s="10">
        <v>335.03199999999998</v>
      </c>
      <c r="M167" s="10">
        <v>69.123000000000005</v>
      </c>
      <c r="N167" s="10">
        <v>10534.960999999999</v>
      </c>
      <c r="O167" s="10">
        <v>3347.875</v>
      </c>
      <c r="P167" s="11">
        <f t="shared" si="21"/>
        <v>36559.89</v>
      </c>
    </row>
    <row r="168" spans="2:16" ht="34.9" hidden="1" customHeight="1">
      <c r="B168" s="14">
        <v>42614</v>
      </c>
      <c r="C168" s="6">
        <v>15135.297</v>
      </c>
      <c r="D168" s="6">
        <v>164.24100000000001</v>
      </c>
      <c r="E168" s="6">
        <v>21044.348000000002</v>
      </c>
      <c r="F168" s="6">
        <v>20149.597000000002</v>
      </c>
      <c r="G168" s="7">
        <f t="shared" si="20"/>
        <v>56493.483</v>
      </c>
      <c r="H168" s="6">
        <v>62.433</v>
      </c>
      <c r="I168" s="6">
        <v>300.52199999999999</v>
      </c>
      <c r="J168" s="6">
        <v>4139.259</v>
      </c>
      <c r="K168" s="6">
        <v>9846.5679999999993</v>
      </c>
      <c r="L168" s="6">
        <v>524.34199999999998</v>
      </c>
      <c r="M168" s="6">
        <v>13.103999999999999</v>
      </c>
      <c r="N168" s="6">
        <v>9112.4279999999999</v>
      </c>
      <c r="O168" s="6">
        <v>25465.023000000001</v>
      </c>
      <c r="P168" s="7">
        <f t="shared" si="21"/>
        <v>49463.679000000004</v>
      </c>
    </row>
    <row r="169" spans="2:16" ht="34.9" hidden="1" customHeight="1">
      <c r="B169" s="15">
        <v>42644</v>
      </c>
      <c r="C169" s="10">
        <v>56331.760999999999</v>
      </c>
      <c r="D169" s="10">
        <v>559.822</v>
      </c>
      <c r="E169" s="10">
        <v>22909.721000000001</v>
      </c>
      <c r="F169" s="10">
        <v>27105.436000000002</v>
      </c>
      <c r="G169" s="11">
        <f t="shared" si="20"/>
        <v>106906.74</v>
      </c>
      <c r="H169" s="10">
        <v>572.971</v>
      </c>
      <c r="I169" s="10">
        <v>328.40199999999999</v>
      </c>
      <c r="J169" s="10">
        <v>5568.7449999999999</v>
      </c>
      <c r="K169" s="10">
        <v>13702.221</v>
      </c>
      <c r="L169" s="10">
        <v>908.70399999999995</v>
      </c>
      <c r="M169" s="10">
        <v>15.294</v>
      </c>
      <c r="N169" s="10">
        <v>6480.3280000000004</v>
      </c>
      <c r="O169" s="10">
        <v>2354.337</v>
      </c>
      <c r="P169" s="11">
        <f t="shared" si="21"/>
        <v>29931.002000000004</v>
      </c>
    </row>
    <row r="170" spans="2:16" ht="34.9" hidden="1" customHeight="1">
      <c r="B170" s="14">
        <v>42675</v>
      </c>
      <c r="C170" s="6">
        <v>33321.555999999997</v>
      </c>
      <c r="D170" s="6">
        <v>839.29399999999998</v>
      </c>
      <c r="E170" s="6">
        <v>25204.276999999998</v>
      </c>
      <c r="F170" s="6">
        <v>33220.839999999997</v>
      </c>
      <c r="G170" s="7">
        <f t="shared" si="20"/>
        <v>92585.96699999999</v>
      </c>
      <c r="H170" s="6">
        <v>140.9</v>
      </c>
      <c r="I170" s="6">
        <v>202.70699999999999</v>
      </c>
      <c r="J170" s="6">
        <v>2549.8319999999999</v>
      </c>
      <c r="K170" s="6">
        <v>11536.968999999999</v>
      </c>
      <c r="L170" s="6">
        <v>2066.3989999999999</v>
      </c>
      <c r="M170" s="6">
        <v>45.201000000000001</v>
      </c>
      <c r="N170" s="6">
        <v>5793.0029999999997</v>
      </c>
      <c r="O170" s="6">
        <v>11935.335999999999</v>
      </c>
      <c r="P170" s="7">
        <f t="shared" si="21"/>
        <v>34270.347000000002</v>
      </c>
    </row>
    <row r="171" spans="2:16" ht="34.9" hidden="1" customHeight="1">
      <c r="B171" s="15">
        <v>42705</v>
      </c>
      <c r="C171" s="10">
        <v>31518.191999999999</v>
      </c>
      <c r="D171" s="10">
        <v>748.78200000000004</v>
      </c>
      <c r="E171" s="10">
        <v>30882.547999999999</v>
      </c>
      <c r="F171" s="10">
        <v>27294.933000000001</v>
      </c>
      <c r="G171" s="11">
        <f t="shared" si="20"/>
        <v>90444.455000000002</v>
      </c>
      <c r="H171" s="10">
        <v>57.781999999999996</v>
      </c>
      <c r="I171" s="10">
        <v>441.73599999999999</v>
      </c>
      <c r="J171" s="10">
        <v>1455.46</v>
      </c>
      <c r="K171" s="10">
        <v>11511.040999999999</v>
      </c>
      <c r="L171" s="10">
        <v>1519.931</v>
      </c>
      <c r="M171" s="10">
        <v>36.363</v>
      </c>
      <c r="N171" s="10">
        <v>6319.3829999999998</v>
      </c>
      <c r="O171" s="10">
        <v>1416.328</v>
      </c>
      <c r="P171" s="11">
        <f t="shared" si="21"/>
        <v>22758.024000000001</v>
      </c>
    </row>
    <row r="172" spans="2:16" ht="34.9" hidden="1" customHeight="1">
      <c r="B172" s="3">
        <v>2017</v>
      </c>
      <c r="C172" s="12"/>
      <c r="D172" s="12"/>
      <c r="E172" s="12"/>
      <c r="F172" s="12"/>
      <c r="G172" s="13"/>
      <c r="H172" s="12"/>
      <c r="I172" s="12"/>
      <c r="J172" s="12"/>
      <c r="K172" s="12"/>
      <c r="L172" s="12"/>
      <c r="M172" s="12"/>
      <c r="N172" s="12"/>
      <c r="O172" s="12"/>
      <c r="P172" s="13"/>
    </row>
    <row r="173" spans="2:16" ht="34.9" hidden="1" customHeight="1">
      <c r="B173" s="14">
        <v>42736</v>
      </c>
      <c r="C173" s="6">
        <v>152206.459</v>
      </c>
      <c r="D173" s="6">
        <v>1462.838</v>
      </c>
      <c r="E173" s="6">
        <v>40142.955000000002</v>
      </c>
      <c r="F173" s="6">
        <v>31807.061000000002</v>
      </c>
      <c r="G173" s="7">
        <f t="shared" ref="G173:G184" si="22">SUM(C173:F173)</f>
        <v>225619.31299999997</v>
      </c>
      <c r="H173" s="6">
        <v>221.42699999999999</v>
      </c>
      <c r="I173" s="6">
        <v>557.89099999999996</v>
      </c>
      <c r="J173" s="6">
        <v>4896.5349999999999</v>
      </c>
      <c r="K173" s="6">
        <v>12347.561</v>
      </c>
      <c r="L173" s="6">
        <v>989.61099999999999</v>
      </c>
      <c r="M173" s="6">
        <v>125.07899999999999</v>
      </c>
      <c r="N173" s="6">
        <v>4788.165</v>
      </c>
      <c r="O173" s="6">
        <v>1751.8810000000001</v>
      </c>
      <c r="P173" s="7">
        <f t="shared" ref="P173:P184" si="23">SUM(H173:O173)</f>
        <v>25678.150000000005</v>
      </c>
    </row>
    <row r="174" spans="2:16" ht="34.9" hidden="1" customHeight="1">
      <c r="B174" s="15">
        <v>42767</v>
      </c>
      <c r="C174" s="10">
        <v>879558.929</v>
      </c>
      <c r="D174" s="10">
        <v>3507.598</v>
      </c>
      <c r="E174" s="10">
        <v>26043.371999999999</v>
      </c>
      <c r="F174" s="10">
        <v>32560.227999999999</v>
      </c>
      <c r="G174" s="11">
        <f t="shared" si="22"/>
        <v>941670.12699999998</v>
      </c>
      <c r="H174" s="10">
        <v>126.185</v>
      </c>
      <c r="I174" s="10">
        <v>300.31700000000001</v>
      </c>
      <c r="J174" s="10">
        <v>6987.3810000000003</v>
      </c>
      <c r="K174" s="10">
        <v>5573.4179999999997</v>
      </c>
      <c r="L174" s="10">
        <v>693.69899999999996</v>
      </c>
      <c r="M174" s="10">
        <v>66.481999999999999</v>
      </c>
      <c r="N174" s="10">
        <v>8463.7880000000005</v>
      </c>
      <c r="O174" s="10">
        <v>12018.035</v>
      </c>
      <c r="P174" s="11">
        <f t="shared" si="23"/>
        <v>34229.305</v>
      </c>
    </row>
    <row r="175" spans="2:16" ht="34.9" hidden="1" customHeight="1">
      <c r="B175" s="14">
        <v>42795</v>
      </c>
      <c r="C175" s="6">
        <v>27101.888999999999</v>
      </c>
      <c r="D175" s="6">
        <v>1384.0889999999999</v>
      </c>
      <c r="E175" s="6">
        <v>40684.999000000003</v>
      </c>
      <c r="F175" s="6">
        <v>35063.468999999997</v>
      </c>
      <c r="G175" s="7">
        <f t="shared" si="22"/>
        <v>104234.446</v>
      </c>
      <c r="H175" s="6">
        <v>1262.633</v>
      </c>
      <c r="I175" s="6">
        <v>476.13</v>
      </c>
      <c r="J175" s="6">
        <v>7609.1750000000002</v>
      </c>
      <c r="K175" s="6">
        <v>11875.15</v>
      </c>
      <c r="L175" s="6">
        <v>769.63499999999999</v>
      </c>
      <c r="M175" s="6">
        <v>53.246000000000002</v>
      </c>
      <c r="N175" s="6">
        <v>10281.302</v>
      </c>
      <c r="O175" s="6">
        <v>5167.8140000000003</v>
      </c>
      <c r="P175" s="7">
        <f t="shared" si="23"/>
        <v>37495.084999999999</v>
      </c>
    </row>
    <row r="176" spans="2:16" ht="34.9" hidden="1" customHeight="1">
      <c r="B176" s="15">
        <v>42826</v>
      </c>
      <c r="C176" s="10">
        <v>22621.257000000001</v>
      </c>
      <c r="D176" s="10">
        <v>1669.942</v>
      </c>
      <c r="E176" s="10">
        <v>42473.109999999993</v>
      </c>
      <c r="F176" s="10">
        <v>33795.493000000002</v>
      </c>
      <c r="G176" s="11">
        <f t="shared" si="22"/>
        <v>100559.802</v>
      </c>
      <c r="H176" s="10">
        <v>395.09299999999996</v>
      </c>
      <c r="I176" s="10">
        <v>7569.585</v>
      </c>
      <c r="J176" s="10">
        <v>10095.133</v>
      </c>
      <c r="K176" s="10">
        <v>11078.959000000001</v>
      </c>
      <c r="L176" s="10">
        <v>1078.7239999999999</v>
      </c>
      <c r="M176" s="10">
        <v>32.326000000000001</v>
      </c>
      <c r="N176" s="10">
        <v>14322.767</v>
      </c>
      <c r="O176" s="10">
        <v>3514.54</v>
      </c>
      <c r="P176" s="11">
        <f t="shared" si="23"/>
        <v>48087.127</v>
      </c>
    </row>
    <row r="177" spans="2:16" ht="34.9" hidden="1" customHeight="1">
      <c r="B177" s="14">
        <v>42856</v>
      </c>
      <c r="C177" s="6">
        <v>23781.143</v>
      </c>
      <c r="D177" s="6">
        <v>661.42100000000005</v>
      </c>
      <c r="E177" s="6">
        <v>25695.541000000001</v>
      </c>
      <c r="F177" s="6">
        <v>32567.875</v>
      </c>
      <c r="G177" s="7">
        <f t="shared" si="22"/>
        <v>82705.98</v>
      </c>
      <c r="H177" s="6">
        <v>370.87599999999998</v>
      </c>
      <c r="I177" s="6">
        <v>475.17700000000002</v>
      </c>
      <c r="J177" s="6">
        <v>5621.0969999999998</v>
      </c>
      <c r="K177" s="6">
        <v>11852.018</v>
      </c>
      <c r="L177" s="6">
        <v>785.80100000000004</v>
      </c>
      <c r="M177" s="6">
        <v>28.446000000000002</v>
      </c>
      <c r="N177" s="6">
        <v>8453.0840000000007</v>
      </c>
      <c r="O177" s="6">
        <v>2354.6390000000001</v>
      </c>
      <c r="P177" s="7">
        <f t="shared" si="23"/>
        <v>29941.137999999995</v>
      </c>
    </row>
    <row r="178" spans="2:16" ht="34.9" hidden="1" customHeight="1">
      <c r="B178" s="15">
        <v>42887</v>
      </c>
      <c r="C178" s="10">
        <v>49094.152999999998</v>
      </c>
      <c r="D178" s="10">
        <v>354.72300000000001</v>
      </c>
      <c r="E178" s="10">
        <v>15680.228999999999</v>
      </c>
      <c r="F178" s="10">
        <v>19974.509999999998</v>
      </c>
      <c r="G178" s="11">
        <f t="shared" si="22"/>
        <v>85103.614999999991</v>
      </c>
      <c r="H178" s="10">
        <v>1074.1990000000001</v>
      </c>
      <c r="I178" s="10">
        <v>290.95</v>
      </c>
      <c r="J178" s="10">
        <v>4693.6869999999999</v>
      </c>
      <c r="K178" s="10">
        <v>11901.218000000001</v>
      </c>
      <c r="L178" s="10">
        <v>336.85</v>
      </c>
      <c r="M178" s="10">
        <v>10.744</v>
      </c>
      <c r="N178" s="10">
        <v>3772.0619999999999</v>
      </c>
      <c r="O178" s="10">
        <v>860.89099999999996</v>
      </c>
      <c r="P178" s="11">
        <f t="shared" si="23"/>
        <v>22940.600999999999</v>
      </c>
    </row>
    <row r="179" spans="2:16" ht="34.9" hidden="1" customHeight="1">
      <c r="B179" s="14">
        <v>42917</v>
      </c>
      <c r="C179" s="6">
        <v>14420.824000000001</v>
      </c>
      <c r="D179" s="6">
        <v>1157.921</v>
      </c>
      <c r="E179" s="6">
        <v>27274.327000000001</v>
      </c>
      <c r="F179" s="6">
        <v>24219.439999999999</v>
      </c>
      <c r="G179" s="7">
        <f t="shared" si="22"/>
        <v>67072.512000000002</v>
      </c>
      <c r="H179" s="6">
        <v>869.24199999999996</v>
      </c>
      <c r="I179" s="6">
        <v>2178.6469999999999</v>
      </c>
      <c r="J179" s="6">
        <v>12426.35</v>
      </c>
      <c r="K179" s="6">
        <v>19430.611000000001</v>
      </c>
      <c r="L179" s="6">
        <v>521.15099999999995</v>
      </c>
      <c r="M179" s="6">
        <v>33.122</v>
      </c>
      <c r="N179" s="6">
        <v>9250.4249999999993</v>
      </c>
      <c r="O179" s="6">
        <v>3539.8890000000001</v>
      </c>
      <c r="P179" s="7">
        <f t="shared" si="23"/>
        <v>48249.437000000013</v>
      </c>
    </row>
    <row r="180" spans="2:16" ht="34.9" hidden="1" customHeight="1">
      <c r="B180" s="15">
        <v>42948</v>
      </c>
      <c r="C180" s="10">
        <v>18644.937999999998</v>
      </c>
      <c r="D180" s="10">
        <v>1588.761</v>
      </c>
      <c r="E180" s="10">
        <v>21075.226500000001</v>
      </c>
      <c r="F180" s="10">
        <v>20756.184000000001</v>
      </c>
      <c r="G180" s="11">
        <f t="shared" si="22"/>
        <v>62065.109499999999</v>
      </c>
      <c r="H180" s="10">
        <v>133.94300000000001</v>
      </c>
      <c r="I180" s="10">
        <v>1161.0170000000001</v>
      </c>
      <c r="J180" s="10">
        <v>8025.942</v>
      </c>
      <c r="K180" s="10">
        <f>13255.317+250.48</f>
        <v>13505.796999999999</v>
      </c>
      <c r="L180" s="10">
        <v>303.67700000000002</v>
      </c>
      <c r="M180" s="10">
        <v>67.263999999999996</v>
      </c>
      <c r="N180" s="10">
        <v>6403.8069999999998</v>
      </c>
      <c r="O180" s="10">
        <v>1084.4559999999999</v>
      </c>
      <c r="P180" s="11">
        <f t="shared" si="23"/>
        <v>30685.902999999998</v>
      </c>
    </row>
    <row r="181" spans="2:16" ht="34.9" hidden="1" customHeight="1">
      <c r="B181" s="14">
        <v>42979</v>
      </c>
      <c r="C181" s="6">
        <v>13792.724</v>
      </c>
      <c r="D181" s="6">
        <v>1172.1500000000001</v>
      </c>
      <c r="E181" s="6">
        <v>16101.674000000001</v>
      </c>
      <c r="F181" s="6">
        <v>15515.748</v>
      </c>
      <c r="G181" s="7">
        <f t="shared" si="22"/>
        <v>46582.296000000002</v>
      </c>
      <c r="H181" s="6">
        <v>46.459000000000003</v>
      </c>
      <c r="I181" s="6">
        <v>183.55799999999999</v>
      </c>
      <c r="J181" s="6">
        <v>6089.6239999999998</v>
      </c>
      <c r="K181" s="6">
        <v>5094.71</v>
      </c>
      <c r="L181" s="6">
        <v>593.71400000000006</v>
      </c>
      <c r="M181" s="6">
        <v>26.655000000000001</v>
      </c>
      <c r="N181" s="6">
        <v>3788.7950000000001</v>
      </c>
      <c r="O181" s="6">
        <v>1027.808</v>
      </c>
      <c r="P181" s="7">
        <f t="shared" si="23"/>
        <v>16851.323</v>
      </c>
    </row>
    <row r="182" spans="2:16" ht="34.9" hidden="1" customHeight="1">
      <c r="B182" s="15">
        <v>43009</v>
      </c>
      <c r="C182" s="10">
        <v>12407.371999999999</v>
      </c>
      <c r="D182" s="10">
        <v>1546.1849999999999</v>
      </c>
      <c r="E182" s="10">
        <v>20009.386999999999</v>
      </c>
      <c r="F182" s="10">
        <v>21180.812000000002</v>
      </c>
      <c r="G182" s="11">
        <f t="shared" si="22"/>
        <v>55143.755999999994</v>
      </c>
      <c r="H182" s="10">
        <v>99.501999999999995</v>
      </c>
      <c r="I182" s="10">
        <v>396.55700000000002</v>
      </c>
      <c r="J182" s="10">
        <v>5614.9</v>
      </c>
      <c r="K182" s="10">
        <v>6750.2089999999998</v>
      </c>
      <c r="L182" s="10">
        <v>1831.26</v>
      </c>
      <c r="M182" s="10">
        <v>13.766</v>
      </c>
      <c r="N182" s="10">
        <v>8500.1350000000002</v>
      </c>
      <c r="O182" s="10">
        <v>1667.68</v>
      </c>
      <c r="P182" s="11">
        <f t="shared" si="23"/>
        <v>24874.008999999998</v>
      </c>
    </row>
    <row r="183" spans="2:16" ht="34.9" hidden="1" customHeight="1">
      <c r="B183" s="14">
        <v>43040</v>
      </c>
      <c r="C183" s="6">
        <v>26081.027999999998</v>
      </c>
      <c r="D183" s="6">
        <v>5000.3090000000002</v>
      </c>
      <c r="E183" s="6">
        <v>18034.569</v>
      </c>
      <c r="F183" s="6">
        <v>16063.721</v>
      </c>
      <c r="G183" s="7">
        <f t="shared" si="22"/>
        <v>65179.627</v>
      </c>
      <c r="H183" s="6">
        <v>303.46199999999999</v>
      </c>
      <c r="I183" s="6">
        <v>335.45400000000001</v>
      </c>
      <c r="J183" s="6">
        <v>4391.1840000000002</v>
      </c>
      <c r="K183" s="6">
        <v>9863.7829999999994</v>
      </c>
      <c r="L183" s="6">
        <v>2359.8139999999999</v>
      </c>
      <c r="M183" s="6">
        <v>7.9580000000000002</v>
      </c>
      <c r="N183" s="6">
        <v>4609.3760000000002</v>
      </c>
      <c r="O183" s="6">
        <v>1696.5340000000001</v>
      </c>
      <c r="P183" s="7">
        <f t="shared" si="23"/>
        <v>23567.564999999999</v>
      </c>
    </row>
    <row r="184" spans="2:16" ht="34.9" hidden="1" customHeight="1">
      <c r="B184" s="15">
        <v>43070</v>
      </c>
      <c r="C184" s="10">
        <v>20796.111000000001</v>
      </c>
      <c r="D184" s="10">
        <v>2139.6709999999998</v>
      </c>
      <c r="E184" s="10">
        <v>17287.393</v>
      </c>
      <c r="F184" s="10">
        <v>19298.358</v>
      </c>
      <c r="G184" s="11">
        <f t="shared" si="22"/>
        <v>59521.533000000003</v>
      </c>
      <c r="H184" s="10">
        <v>427.83800000000002</v>
      </c>
      <c r="I184" s="10">
        <v>622.13</v>
      </c>
      <c r="J184" s="10">
        <v>1464.7670000000001</v>
      </c>
      <c r="K184" s="10">
        <v>4858.3230000000003</v>
      </c>
      <c r="L184" s="10">
        <v>1391.115</v>
      </c>
      <c r="M184" s="10">
        <v>7.87</v>
      </c>
      <c r="N184" s="10">
        <v>4571.6840000000002</v>
      </c>
      <c r="O184" s="10">
        <v>19082.249</v>
      </c>
      <c r="P184" s="11">
        <f t="shared" si="23"/>
        <v>32425.976000000002</v>
      </c>
    </row>
    <row r="185" spans="2:16" ht="34.9" hidden="1" customHeight="1">
      <c r="B185" s="3">
        <v>2018</v>
      </c>
      <c r="C185" s="12"/>
      <c r="D185" s="12"/>
      <c r="E185" s="12"/>
      <c r="F185" s="12"/>
      <c r="G185" s="13"/>
      <c r="H185" s="12"/>
      <c r="I185" s="12"/>
      <c r="J185" s="12"/>
      <c r="K185" s="12"/>
      <c r="L185" s="12"/>
      <c r="M185" s="12"/>
      <c r="N185" s="12"/>
      <c r="O185" s="12"/>
      <c r="P185" s="13"/>
    </row>
    <row r="186" spans="2:16" ht="34.9" hidden="1" customHeight="1">
      <c r="B186" s="14">
        <v>43101</v>
      </c>
      <c r="C186" s="6">
        <v>11289.754999999999</v>
      </c>
      <c r="D186" s="6">
        <v>1189.442</v>
      </c>
      <c r="E186" s="6">
        <v>12963.671</v>
      </c>
      <c r="F186" s="6">
        <v>31859.684000000001</v>
      </c>
      <c r="G186" s="7">
        <f t="shared" ref="G186:G197" si="24">SUM(C186:F186)</f>
        <v>57302.552000000003</v>
      </c>
      <c r="H186" s="6">
        <v>338.21800000000002</v>
      </c>
      <c r="I186" s="6">
        <v>444.01299999999998</v>
      </c>
      <c r="J186" s="6">
        <v>4276.4880000000003</v>
      </c>
      <c r="K186" s="6">
        <v>6024.0749999999998</v>
      </c>
      <c r="L186" s="6">
        <v>1215.164</v>
      </c>
      <c r="M186" s="6">
        <v>8.0540000000000003</v>
      </c>
      <c r="N186" s="6">
        <v>6167.4489999999996</v>
      </c>
      <c r="O186" s="6">
        <v>4109.9160000000002</v>
      </c>
      <c r="P186" s="7">
        <f t="shared" ref="P186:P197" si="25">SUM(H186:O186)</f>
        <v>22583.377</v>
      </c>
    </row>
    <row r="187" spans="2:16" ht="34.9" hidden="1" customHeight="1">
      <c r="B187" s="15">
        <v>43132</v>
      </c>
      <c r="C187" s="10">
        <v>47129.949000000001</v>
      </c>
      <c r="D187" s="10">
        <v>1107.502</v>
      </c>
      <c r="E187" s="10">
        <v>8968.4609999999993</v>
      </c>
      <c r="F187" s="10">
        <v>29162.541000000001</v>
      </c>
      <c r="G187" s="11">
        <f t="shared" si="24"/>
        <v>86368.452999999994</v>
      </c>
      <c r="H187" s="10">
        <v>468.98</v>
      </c>
      <c r="I187" s="10">
        <v>266.05700000000002</v>
      </c>
      <c r="J187" s="10">
        <v>1765.7180000000001</v>
      </c>
      <c r="K187" s="10">
        <v>5386.6689999999999</v>
      </c>
      <c r="L187" s="10">
        <v>1877.855</v>
      </c>
      <c r="M187" s="10">
        <v>8.9079999999999995</v>
      </c>
      <c r="N187" s="10">
        <v>7360.83</v>
      </c>
      <c r="O187" s="10">
        <v>2826.6610000000001</v>
      </c>
      <c r="P187" s="11">
        <f t="shared" si="25"/>
        <v>19961.678</v>
      </c>
    </row>
    <row r="188" spans="2:16" ht="34.9" hidden="1" customHeight="1">
      <c r="B188" s="14">
        <v>43160</v>
      </c>
      <c r="C188" s="6">
        <v>28127.856</v>
      </c>
      <c r="D188" s="6">
        <v>732.76199999999994</v>
      </c>
      <c r="E188" s="6">
        <v>18761.305</v>
      </c>
      <c r="F188" s="6">
        <v>22976.514999999999</v>
      </c>
      <c r="G188" s="7">
        <f t="shared" si="24"/>
        <v>70598.437999999995</v>
      </c>
      <c r="H188" s="6">
        <v>900.41099999999994</v>
      </c>
      <c r="I188" s="6">
        <v>308.18</v>
      </c>
      <c r="J188" s="6">
        <v>2928.0880000000002</v>
      </c>
      <c r="K188" s="6">
        <v>7463.5730000000003</v>
      </c>
      <c r="L188" s="6">
        <v>7814.741</v>
      </c>
      <c r="M188" s="6">
        <v>23.739000000000001</v>
      </c>
      <c r="N188" s="6">
        <v>4540.3940000000002</v>
      </c>
      <c r="O188" s="6">
        <v>2532.9650000000001</v>
      </c>
      <c r="P188" s="7">
        <f t="shared" si="25"/>
        <v>26512.091000000004</v>
      </c>
    </row>
    <row r="189" spans="2:16" ht="34.9" hidden="1" customHeight="1">
      <c r="B189" s="15">
        <v>43191</v>
      </c>
      <c r="C189" s="10">
        <v>37928.023999999998</v>
      </c>
      <c r="D189" s="10">
        <v>1357.5830000000001</v>
      </c>
      <c r="E189" s="10">
        <v>10969.867</v>
      </c>
      <c r="F189" s="10">
        <v>19962.197</v>
      </c>
      <c r="G189" s="11">
        <f t="shared" si="24"/>
        <v>70217.671000000002</v>
      </c>
      <c r="H189" s="10">
        <v>711.822</v>
      </c>
      <c r="I189" s="10">
        <v>275.471</v>
      </c>
      <c r="J189" s="10">
        <v>4371.1239999999998</v>
      </c>
      <c r="K189" s="10">
        <v>4824.0420000000004</v>
      </c>
      <c r="L189" s="10">
        <v>2517.5619999999999</v>
      </c>
      <c r="M189" s="10">
        <v>20.632000000000001</v>
      </c>
      <c r="N189" s="10">
        <v>9870.8970000000008</v>
      </c>
      <c r="O189" s="10">
        <v>2878.9589999999998</v>
      </c>
      <c r="P189" s="11">
        <f t="shared" si="25"/>
        <v>25470.508999999998</v>
      </c>
    </row>
    <row r="190" spans="2:16" ht="34.9" hidden="1" customHeight="1">
      <c r="B190" s="14">
        <v>43221</v>
      </c>
      <c r="C190" s="6">
        <v>39595.614000000001</v>
      </c>
      <c r="D190" s="6">
        <v>1167.8119999999999</v>
      </c>
      <c r="E190" s="6">
        <v>12112.245000000001</v>
      </c>
      <c r="F190" s="6">
        <v>19069.638999999999</v>
      </c>
      <c r="G190" s="7">
        <f t="shared" si="24"/>
        <v>71945.31</v>
      </c>
      <c r="H190" s="6">
        <v>907.53899999999999</v>
      </c>
      <c r="I190" s="6">
        <v>274.49400000000003</v>
      </c>
      <c r="J190" s="6">
        <v>4958.4409999999998</v>
      </c>
      <c r="K190" s="6">
        <v>5546.6149999999998</v>
      </c>
      <c r="L190" s="6">
        <v>1880.0139999999999</v>
      </c>
      <c r="M190" s="6">
        <v>0</v>
      </c>
      <c r="N190" s="6">
        <v>6067.6409999999996</v>
      </c>
      <c r="O190" s="6">
        <v>1612.327</v>
      </c>
      <c r="P190" s="7">
        <f t="shared" si="25"/>
        <v>21247.071</v>
      </c>
    </row>
    <row r="191" spans="2:16" ht="34.9" hidden="1" customHeight="1">
      <c r="B191" s="15">
        <v>43252</v>
      </c>
      <c r="C191" s="10">
        <v>17521.25</v>
      </c>
      <c r="D191" s="10">
        <v>965.09799999999996</v>
      </c>
      <c r="E191" s="10">
        <v>10074.138999999999</v>
      </c>
      <c r="F191" s="10">
        <v>19452.685000000001</v>
      </c>
      <c r="G191" s="11">
        <f t="shared" si="24"/>
        <v>48013.171999999999</v>
      </c>
      <c r="H191" s="10">
        <v>331.54700000000003</v>
      </c>
      <c r="I191" s="10">
        <v>187.328</v>
      </c>
      <c r="J191" s="10">
        <v>3588.8530000000001</v>
      </c>
      <c r="K191" s="10">
        <v>2942.4740000000002</v>
      </c>
      <c r="L191" s="10">
        <v>998.72400000000005</v>
      </c>
      <c r="M191" s="10">
        <v>0</v>
      </c>
      <c r="N191" s="10">
        <v>2879.6089999999999</v>
      </c>
      <c r="O191" s="10">
        <v>1130.2149999999999</v>
      </c>
      <c r="P191" s="11">
        <f t="shared" si="25"/>
        <v>12058.75</v>
      </c>
    </row>
    <row r="192" spans="2:16" ht="34.9" hidden="1" customHeight="1">
      <c r="B192" s="14">
        <v>43282</v>
      </c>
      <c r="C192" s="6">
        <v>48033.661</v>
      </c>
      <c r="D192" s="6">
        <v>2926.2429999999999</v>
      </c>
      <c r="E192" s="6">
        <v>9054.0709999999999</v>
      </c>
      <c r="F192" s="6">
        <v>17479.088</v>
      </c>
      <c r="G192" s="7">
        <f t="shared" si="24"/>
        <v>77493.063000000009</v>
      </c>
      <c r="H192" s="6">
        <v>1423.617</v>
      </c>
      <c r="I192" s="6">
        <v>817.77099999999996</v>
      </c>
      <c r="J192" s="6">
        <v>2362.3789999999999</v>
      </c>
      <c r="K192" s="6">
        <v>3630.2339999999999</v>
      </c>
      <c r="L192" s="6">
        <v>1221.3009999999999</v>
      </c>
      <c r="M192" s="6">
        <v>0</v>
      </c>
      <c r="N192" s="6">
        <v>3049.558</v>
      </c>
      <c r="O192" s="6">
        <v>3038.4789999999998</v>
      </c>
      <c r="P192" s="7">
        <f t="shared" si="25"/>
        <v>15543.339</v>
      </c>
    </row>
    <row r="193" spans="2:16" ht="34.9" hidden="1" customHeight="1">
      <c r="B193" s="15">
        <v>43313</v>
      </c>
      <c r="C193" s="10">
        <v>132145.288</v>
      </c>
      <c r="D193" s="10">
        <v>960.97699999999998</v>
      </c>
      <c r="E193" s="10">
        <v>10595.808999999999</v>
      </c>
      <c r="F193" s="10">
        <v>15994.968000000001</v>
      </c>
      <c r="G193" s="11">
        <f t="shared" si="24"/>
        <v>159697.04200000002</v>
      </c>
      <c r="H193" s="10">
        <v>486.32799999999997</v>
      </c>
      <c r="I193" s="10">
        <v>166.6</v>
      </c>
      <c r="J193" s="10">
        <v>1796.16</v>
      </c>
      <c r="K193" s="10">
        <v>1143.338</v>
      </c>
      <c r="L193" s="10">
        <v>945.30799999999999</v>
      </c>
      <c r="M193" s="10">
        <v>0</v>
      </c>
      <c r="N193" s="10">
        <v>2291.3139999999999</v>
      </c>
      <c r="O193" s="10">
        <v>1945.098</v>
      </c>
      <c r="P193" s="11">
        <f t="shared" si="25"/>
        <v>8774.1460000000006</v>
      </c>
    </row>
    <row r="194" spans="2:16" ht="34.9" hidden="1" customHeight="1">
      <c r="B194" s="14">
        <v>43344</v>
      </c>
      <c r="C194" s="6">
        <v>16762.862000000001</v>
      </c>
      <c r="D194" s="6">
        <v>3229.1419999999998</v>
      </c>
      <c r="E194" s="6">
        <v>11074.837</v>
      </c>
      <c r="F194" s="6">
        <v>20877.55</v>
      </c>
      <c r="G194" s="7">
        <f t="shared" si="24"/>
        <v>51944.391000000003</v>
      </c>
      <c r="H194" s="6">
        <v>284.22899999999998</v>
      </c>
      <c r="I194" s="6">
        <v>162.078</v>
      </c>
      <c r="J194" s="6">
        <v>3432.6909999999998</v>
      </c>
      <c r="K194" s="6">
        <v>1951.7</v>
      </c>
      <c r="L194" s="6">
        <v>474.32900000000001</v>
      </c>
      <c r="M194" s="6">
        <v>40.082999999999998</v>
      </c>
      <c r="N194" s="6">
        <v>3710.02</v>
      </c>
      <c r="O194" s="6">
        <v>1354.1759999999999</v>
      </c>
      <c r="P194" s="7">
        <f t="shared" si="25"/>
        <v>11409.305999999999</v>
      </c>
    </row>
    <row r="195" spans="2:16" ht="34.9" hidden="1" customHeight="1">
      <c r="B195" s="15">
        <v>43374</v>
      </c>
      <c r="C195" s="10">
        <v>17514.366000000002</v>
      </c>
      <c r="D195" s="10">
        <v>1559.2149999999999</v>
      </c>
      <c r="E195" s="10">
        <v>13201.73</v>
      </c>
      <c r="F195" s="10">
        <v>35291.913999999997</v>
      </c>
      <c r="G195" s="11">
        <f t="shared" si="24"/>
        <v>67567.225000000006</v>
      </c>
      <c r="H195" s="10">
        <v>123.93600000000001</v>
      </c>
      <c r="I195" s="10">
        <v>10237.796</v>
      </c>
      <c r="J195" s="10">
        <v>3165.92</v>
      </c>
      <c r="K195" s="10">
        <v>3180.6439999999998</v>
      </c>
      <c r="L195" s="10">
        <v>1046.461</v>
      </c>
      <c r="M195" s="10">
        <v>12.170999999999999</v>
      </c>
      <c r="N195" s="10">
        <v>4373.8</v>
      </c>
      <c r="O195" s="10">
        <v>10901.909</v>
      </c>
      <c r="P195" s="11">
        <f t="shared" si="25"/>
        <v>33042.636999999995</v>
      </c>
    </row>
    <row r="196" spans="2:16" ht="34.9" hidden="1" customHeight="1">
      <c r="B196" s="14">
        <v>43405</v>
      </c>
      <c r="C196" s="6">
        <v>28108.321</v>
      </c>
      <c r="D196" s="6">
        <v>2287.3290000000002</v>
      </c>
      <c r="E196" s="6">
        <v>9653.5139999999992</v>
      </c>
      <c r="F196" s="6">
        <v>23649.931</v>
      </c>
      <c r="G196" s="7">
        <f t="shared" si="24"/>
        <v>63699.095000000001</v>
      </c>
      <c r="H196" s="6">
        <v>587.31700000000001</v>
      </c>
      <c r="I196" s="6">
        <v>85.808000000000007</v>
      </c>
      <c r="J196" s="6">
        <v>3411.16</v>
      </c>
      <c r="K196" s="6">
        <v>3823.0680000000002</v>
      </c>
      <c r="L196" s="6">
        <v>598.21199999999999</v>
      </c>
      <c r="M196" s="6">
        <v>15.715</v>
      </c>
      <c r="N196" s="6">
        <v>4705.4229999999998</v>
      </c>
      <c r="O196" s="6">
        <v>2419.703</v>
      </c>
      <c r="P196" s="7">
        <f t="shared" si="25"/>
        <v>15646.406000000001</v>
      </c>
    </row>
    <row r="197" spans="2:16" ht="34.9" hidden="1" customHeight="1">
      <c r="B197" s="15">
        <v>43435</v>
      </c>
      <c r="C197" s="10">
        <v>234969.473</v>
      </c>
      <c r="D197" s="10">
        <v>1892.857</v>
      </c>
      <c r="E197" s="10">
        <v>11825.716</v>
      </c>
      <c r="F197" s="10">
        <v>26471.107</v>
      </c>
      <c r="G197" s="11">
        <f t="shared" si="24"/>
        <v>275159.15299999999</v>
      </c>
      <c r="H197" s="10">
        <v>133.17400000000001</v>
      </c>
      <c r="I197" s="10">
        <v>74.688000000000002</v>
      </c>
      <c r="J197" s="10">
        <v>2252.7040000000002</v>
      </c>
      <c r="K197" s="10">
        <v>3836.9630000000002</v>
      </c>
      <c r="L197" s="10">
        <v>1001.979</v>
      </c>
      <c r="M197" s="10">
        <v>10.073</v>
      </c>
      <c r="N197" s="10">
        <v>6787.0969999999998</v>
      </c>
      <c r="O197" s="10">
        <v>4685.299</v>
      </c>
      <c r="P197" s="11">
        <f t="shared" si="25"/>
        <v>18781.976999999999</v>
      </c>
    </row>
    <row r="198" spans="2:16" ht="34.9" hidden="1" customHeight="1">
      <c r="B198" s="3">
        <v>2019</v>
      </c>
      <c r="C198" s="12"/>
      <c r="D198" s="12"/>
      <c r="E198" s="12"/>
      <c r="F198" s="12"/>
      <c r="G198" s="13"/>
      <c r="H198" s="12"/>
      <c r="I198" s="12"/>
      <c r="J198" s="12"/>
      <c r="K198" s="12"/>
      <c r="L198" s="12"/>
      <c r="M198" s="12"/>
      <c r="N198" s="12"/>
      <c r="O198" s="12"/>
      <c r="P198" s="13"/>
    </row>
    <row r="199" spans="2:16" ht="34.9" hidden="1" customHeight="1">
      <c r="B199" s="14">
        <v>43466</v>
      </c>
      <c r="C199" s="6">
        <v>12500.062</v>
      </c>
      <c r="D199" s="6">
        <v>315.09300000000002</v>
      </c>
      <c r="E199" s="6">
        <v>13412.959000000001</v>
      </c>
      <c r="F199" s="6">
        <v>17946.885999999999</v>
      </c>
      <c r="G199" s="7">
        <f t="shared" ref="G199:G210" si="26">SUM(C199:F199)</f>
        <v>44175</v>
      </c>
      <c r="H199" s="6">
        <v>154.13999999999999</v>
      </c>
      <c r="I199" s="6">
        <v>1180.1510000000001</v>
      </c>
      <c r="J199" s="6">
        <v>1110.847</v>
      </c>
      <c r="K199" s="6">
        <v>4032.491</v>
      </c>
      <c r="L199" s="6">
        <v>457.35300000000001</v>
      </c>
      <c r="M199" s="6">
        <v>14.568</v>
      </c>
      <c r="N199" s="6">
        <v>5558.9350000000004</v>
      </c>
      <c r="O199" s="6">
        <v>2919.3119999999999</v>
      </c>
      <c r="P199" s="7">
        <f t="shared" ref="P199:P210" si="27">SUM(H199:O199)</f>
        <v>15427.797</v>
      </c>
    </row>
    <row r="200" spans="2:16" ht="34.9" hidden="1" customHeight="1">
      <c r="B200" s="15">
        <v>43497</v>
      </c>
      <c r="C200" s="10">
        <v>33821.319000000003</v>
      </c>
      <c r="D200" s="10">
        <v>454.673</v>
      </c>
      <c r="E200" s="10">
        <v>12010.481</v>
      </c>
      <c r="F200" s="10">
        <v>25112.316999999999</v>
      </c>
      <c r="G200" s="11">
        <f t="shared" si="26"/>
        <v>71398.790000000008</v>
      </c>
      <c r="H200" s="10">
        <v>119.07</v>
      </c>
      <c r="I200" s="10">
        <v>247.89599999999999</v>
      </c>
      <c r="J200" s="10">
        <v>869.24599999999998</v>
      </c>
      <c r="K200" s="10">
        <v>3778.0680000000002</v>
      </c>
      <c r="L200" s="10">
        <v>772.59400000000005</v>
      </c>
      <c r="M200" s="10">
        <v>7.9359999999999999</v>
      </c>
      <c r="N200" s="10">
        <v>5103.723</v>
      </c>
      <c r="O200" s="10">
        <v>4675.7550000000001</v>
      </c>
      <c r="P200" s="11">
        <f t="shared" si="27"/>
        <v>15574.288</v>
      </c>
    </row>
    <row r="201" spans="2:16" ht="34.9" hidden="1" customHeight="1">
      <c r="B201" s="14">
        <v>43525</v>
      </c>
      <c r="C201" s="6">
        <v>93256.103000000003</v>
      </c>
      <c r="D201" s="6">
        <v>1487.9269999999999</v>
      </c>
      <c r="E201" s="6">
        <v>13812.097</v>
      </c>
      <c r="F201" s="6">
        <v>24818.057000000001</v>
      </c>
      <c r="G201" s="7">
        <f t="shared" si="26"/>
        <v>133374.18400000001</v>
      </c>
      <c r="H201" s="6">
        <v>81.364000000000004</v>
      </c>
      <c r="I201" s="6">
        <v>331.89600000000002</v>
      </c>
      <c r="J201" s="6">
        <v>1346.633</v>
      </c>
      <c r="K201" s="6">
        <v>3476.5340000000001</v>
      </c>
      <c r="L201" s="6">
        <v>1340.5229999999999</v>
      </c>
      <c r="M201" s="6">
        <v>6.8250000000000002</v>
      </c>
      <c r="N201" s="6">
        <v>5100.7190000000001</v>
      </c>
      <c r="O201" s="6">
        <v>3561.1860000000001</v>
      </c>
      <c r="P201" s="7">
        <f t="shared" si="27"/>
        <v>15245.679999999998</v>
      </c>
    </row>
    <row r="202" spans="2:16" ht="34.9" hidden="1" customHeight="1">
      <c r="B202" s="15">
        <v>43556</v>
      </c>
      <c r="C202" s="10">
        <v>20492.023000000001</v>
      </c>
      <c r="D202" s="10">
        <v>423.46100000000001</v>
      </c>
      <c r="E202" s="10">
        <v>11610.587</v>
      </c>
      <c r="F202" s="10">
        <v>24593.455000000002</v>
      </c>
      <c r="G202" s="11">
        <f t="shared" si="26"/>
        <v>57119.525999999998</v>
      </c>
      <c r="H202" s="10">
        <v>82.465000000000003</v>
      </c>
      <c r="I202" s="10">
        <v>579.00099999999998</v>
      </c>
      <c r="J202" s="10">
        <v>751.06</v>
      </c>
      <c r="K202" s="10">
        <v>2711.33</v>
      </c>
      <c r="L202" s="10">
        <v>697.13400000000001</v>
      </c>
      <c r="M202" s="10">
        <v>5.4770000000000003</v>
      </c>
      <c r="N202" s="10">
        <v>8273.7340000000004</v>
      </c>
      <c r="O202" s="10">
        <v>13992.269</v>
      </c>
      <c r="P202" s="11">
        <f t="shared" si="27"/>
        <v>27092.47</v>
      </c>
    </row>
    <row r="203" spans="2:16" ht="34.9" hidden="1" customHeight="1">
      <c r="B203" s="14">
        <v>43586</v>
      </c>
      <c r="C203" s="6">
        <v>12709.887000000001</v>
      </c>
      <c r="D203" s="6">
        <v>736.18600000000004</v>
      </c>
      <c r="E203" s="6">
        <v>9912.9590000000007</v>
      </c>
      <c r="F203" s="6">
        <v>23819.812000000002</v>
      </c>
      <c r="G203" s="7">
        <f t="shared" si="26"/>
        <v>47178.843999999997</v>
      </c>
      <c r="H203" s="6">
        <v>36.250999999999998</v>
      </c>
      <c r="I203" s="6">
        <v>205.09800000000001</v>
      </c>
      <c r="J203" s="6">
        <v>647.02300000000002</v>
      </c>
      <c r="K203" s="6">
        <v>4445.4889999999996</v>
      </c>
      <c r="L203" s="6">
        <v>628.678</v>
      </c>
      <c r="M203" s="6">
        <v>0.21</v>
      </c>
      <c r="N203" s="6">
        <v>7422.4049999999997</v>
      </c>
      <c r="O203" s="6">
        <v>2793.9009999999998</v>
      </c>
      <c r="P203" s="7">
        <f t="shared" si="27"/>
        <v>16179.054999999998</v>
      </c>
    </row>
    <row r="204" spans="2:16" ht="34.9" hidden="1" customHeight="1">
      <c r="B204" s="15">
        <v>43617</v>
      </c>
      <c r="C204" s="10">
        <v>12410.695</v>
      </c>
      <c r="D204" s="10">
        <v>1166.902</v>
      </c>
      <c r="E204" s="10">
        <v>12225.708000000001</v>
      </c>
      <c r="F204" s="10">
        <v>26022.899000000001</v>
      </c>
      <c r="G204" s="11">
        <f t="shared" si="26"/>
        <v>51826.203999999998</v>
      </c>
      <c r="H204" s="10">
        <v>72.332999999999998</v>
      </c>
      <c r="I204" s="10">
        <v>198.703</v>
      </c>
      <c r="J204" s="10">
        <v>1514.268</v>
      </c>
      <c r="K204" s="10">
        <v>6867.8729999999996</v>
      </c>
      <c r="L204" s="10">
        <v>1058.873</v>
      </c>
      <c r="M204" s="10">
        <v>42.658999999999999</v>
      </c>
      <c r="N204" s="10">
        <v>10780.062</v>
      </c>
      <c r="O204" s="10">
        <v>568.92100000000005</v>
      </c>
      <c r="P204" s="11">
        <f t="shared" si="27"/>
        <v>21103.691999999999</v>
      </c>
    </row>
    <row r="205" spans="2:16" ht="34.9" hidden="1" customHeight="1">
      <c r="B205" s="14">
        <v>43647</v>
      </c>
      <c r="C205" s="6">
        <v>14498.117</v>
      </c>
      <c r="D205" s="6">
        <v>1302.5519999999999</v>
      </c>
      <c r="E205" s="6">
        <v>14201.096</v>
      </c>
      <c r="F205" s="6">
        <v>47304.688000000002</v>
      </c>
      <c r="G205" s="7">
        <f t="shared" si="26"/>
        <v>77306.453000000009</v>
      </c>
      <c r="H205" s="6">
        <v>105.396</v>
      </c>
      <c r="I205" s="6">
        <v>1449.798</v>
      </c>
      <c r="J205" s="6">
        <v>1883.39</v>
      </c>
      <c r="K205" s="6">
        <v>9484.5889999999999</v>
      </c>
      <c r="L205" s="6">
        <v>1659.085</v>
      </c>
      <c r="M205" s="6">
        <v>14.5</v>
      </c>
      <c r="N205" s="6">
        <v>19076.931</v>
      </c>
      <c r="O205" s="6">
        <v>3190.6179999999999</v>
      </c>
      <c r="P205" s="7">
        <f t="shared" si="27"/>
        <v>36864.307000000001</v>
      </c>
    </row>
    <row r="206" spans="2:16" ht="34.9" hidden="1" customHeight="1">
      <c r="B206" s="15">
        <v>43678</v>
      </c>
      <c r="C206" s="10">
        <v>32288.215</v>
      </c>
      <c r="D206" s="10">
        <v>186.70699999999999</v>
      </c>
      <c r="E206" s="10">
        <v>8546.8379999999997</v>
      </c>
      <c r="F206" s="10">
        <v>31635.781999999999</v>
      </c>
      <c r="G206" s="11">
        <f t="shared" si="26"/>
        <v>72657.541999999987</v>
      </c>
      <c r="H206" s="10">
        <v>1068.0899999999999</v>
      </c>
      <c r="I206" s="10">
        <v>188.874</v>
      </c>
      <c r="J206" s="10">
        <v>582.67600000000004</v>
      </c>
      <c r="K206" s="10">
        <v>4973.7529999999997</v>
      </c>
      <c r="L206" s="10">
        <v>548.25300000000004</v>
      </c>
      <c r="M206" s="10">
        <v>2.645</v>
      </c>
      <c r="N206" s="10">
        <v>6834.6790000000001</v>
      </c>
      <c r="O206" s="10">
        <v>2338.2489999999998</v>
      </c>
      <c r="P206" s="11">
        <f t="shared" si="27"/>
        <v>16537.219000000001</v>
      </c>
    </row>
    <row r="207" spans="2:16" ht="34.9" hidden="1" customHeight="1">
      <c r="B207" s="14">
        <v>43709</v>
      </c>
      <c r="C207" s="6">
        <v>25459.737000000001</v>
      </c>
      <c r="D207" s="6">
        <v>782.43</v>
      </c>
      <c r="E207" s="6">
        <v>19633.384999999998</v>
      </c>
      <c r="F207" s="6">
        <v>42339.252999999997</v>
      </c>
      <c r="G207" s="7">
        <f t="shared" si="26"/>
        <v>88214.804999999993</v>
      </c>
      <c r="H207" s="6">
        <v>379.19299999999998</v>
      </c>
      <c r="I207" s="6">
        <v>219.113</v>
      </c>
      <c r="J207" s="6">
        <v>21110.35</v>
      </c>
      <c r="K207" s="6">
        <v>7234.56</v>
      </c>
      <c r="L207" s="6">
        <v>3392.7170000000001</v>
      </c>
      <c r="M207" s="6">
        <v>7.53</v>
      </c>
      <c r="N207" s="6">
        <v>9554.8520000000008</v>
      </c>
      <c r="O207" s="6">
        <v>1030.1289999999999</v>
      </c>
      <c r="P207" s="7">
        <f t="shared" si="27"/>
        <v>42928.444000000003</v>
      </c>
    </row>
    <row r="208" spans="2:16" ht="34.9" hidden="1" customHeight="1">
      <c r="B208" s="15">
        <v>43739</v>
      </c>
      <c r="C208" s="10">
        <v>177127.90700000001</v>
      </c>
      <c r="D208" s="10">
        <v>680.577</v>
      </c>
      <c r="E208" s="10">
        <v>14299.423000000001</v>
      </c>
      <c r="F208" s="10">
        <v>24994.138999999999</v>
      </c>
      <c r="G208" s="11">
        <f t="shared" si="26"/>
        <v>217102.046</v>
      </c>
      <c r="H208" s="10">
        <v>320.37400000000002</v>
      </c>
      <c r="I208" s="10">
        <v>272.56900000000002</v>
      </c>
      <c r="J208" s="10">
        <v>651.83600000000001</v>
      </c>
      <c r="K208" s="10">
        <v>5803.5969999999998</v>
      </c>
      <c r="L208" s="10">
        <v>2748.0749999999998</v>
      </c>
      <c r="M208" s="10">
        <v>6.0819999999999999</v>
      </c>
      <c r="N208" s="10">
        <v>10189.304</v>
      </c>
      <c r="O208" s="10">
        <v>922.10799999999995</v>
      </c>
      <c r="P208" s="11">
        <f t="shared" si="27"/>
        <v>20913.945</v>
      </c>
    </row>
    <row r="209" spans="2:16" ht="34.9" hidden="1" customHeight="1">
      <c r="B209" s="14">
        <v>43770</v>
      </c>
      <c r="C209" s="6">
        <v>19644.006000000001</v>
      </c>
      <c r="D209" s="6">
        <v>3090.125</v>
      </c>
      <c r="E209" s="6">
        <v>11026.244000000001</v>
      </c>
      <c r="F209" s="6">
        <v>19815.7</v>
      </c>
      <c r="G209" s="7">
        <f t="shared" si="26"/>
        <v>53576.074999999997</v>
      </c>
      <c r="H209" s="6">
        <v>401.66800000000001</v>
      </c>
      <c r="I209" s="6">
        <v>143.46100000000001</v>
      </c>
      <c r="J209" s="6">
        <v>1553.865</v>
      </c>
      <c r="K209" s="6">
        <v>4019.0540000000001</v>
      </c>
      <c r="L209" s="6">
        <v>195.43700000000001</v>
      </c>
      <c r="M209" s="6">
        <v>4.7130000000000001</v>
      </c>
      <c r="N209" s="6">
        <v>9036.9979999999996</v>
      </c>
      <c r="O209" s="6">
        <v>1439.779</v>
      </c>
      <c r="P209" s="7">
        <f t="shared" si="27"/>
        <v>16794.974999999999</v>
      </c>
    </row>
    <row r="210" spans="2:16" ht="34.9" hidden="1" customHeight="1">
      <c r="B210" s="15">
        <v>43800</v>
      </c>
      <c r="C210" s="10">
        <v>74117.013999999996</v>
      </c>
      <c r="D210" s="10">
        <v>11351.587</v>
      </c>
      <c r="E210" s="10">
        <v>14266.960999999999</v>
      </c>
      <c r="F210" s="10">
        <v>25734.909</v>
      </c>
      <c r="G210" s="11">
        <f t="shared" si="26"/>
        <v>125470.47099999999</v>
      </c>
      <c r="H210" s="10">
        <v>410.61700000000002</v>
      </c>
      <c r="I210" s="10">
        <v>244.87200000000001</v>
      </c>
      <c r="J210" s="10">
        <v>781.495</v>
      </c>
      <c r="K210" s="10">
        <v>4375.0529999999999</v>
      </c>
      <c r="L210" s="10">
        <v>561.27599999999995</v>
      </c>
      <c r="M210" s="10">
        <v>33.734999999999999</v>
      </c>
      <c r="N210" s="10">
        <v>4972.3890000000001</v>
      </c>
      <c r="O210" s="10">
        <v>631.65800000000002</v>
      </c>
      <c r="P210" s="11">
        <f t="shared" si="27"/>
        <v>12011.094999999999</v>
      </c>
    </row>
    <row r="211" spans="2:16" ht="34.9" hidden="1" customHeight="1">
      <c r="B211" s="3">
        <v>2020</v>
      </c>
      <c r="C211" s="12"/>
      <c r="D211" s="12"/>
      <c r="E211" s="12"/>
      <c r="F211" s="12"/>
      <c r="G211" s="13"/>
      <c r="H211" s="12"/>
      <c r="I211" s="12"/>
      <c r="J211" s="12"/>
      <c r="K211" s="12"/>
      <c r="L211" s="12"/>
      <c r="M211" s="12"/>
      <c r="N211" s="12"/>
      <c r="O211" s="12"/>
      <c r="P211" s="13"/>
    </row>
    <row r="212" spans="2:16" ht="34.9" hidden="1" customHeight="1">
      <c r="B212" s="14">
        <v>43831</v>
      </c>
      <c r="C212" s="6">
        <v>26464.452000000001</v>
      </c>
      <c r="D212" s="6">
        <v>2424.4340000000002</v>
      </c>
      <c r="E212" s="6">
        <v>10574.268</v>
      </c>
      <c r="F212" s="6">
        <v>34831.576999999997</v>
      </c>
      <c r="G212" s="7">
        <f t="shared" ref="G212:G222" si="28">SUM(C212:F212)</f>
        <v>74294.731</v>
      </c>
      <c r="H212" s="6">
        <v>215.923</v>
      </c>
      <c r="I212" s="6">
        <v>198.90199999999999</v>
      </c>
      <c r="J212" s="6">
        <v>492.24200000000002</v>
      </c>
      <c r="K212" s="6">
        <v>4031.1889999999999</v>
      </c>
      <c r="L212" s="6">
        <v>363.702</v>
      </c>
      <c r="M212" s="6">
        <v>20.611999999999998</v>
      </c>
      <c r="N212" s="6">
        <v>11673.561</v>
      </c>
      <c r="O212" s="6">
        <v>857.44399999999996</v>
      </c>
      <c r="P212" s="7">
        <f t="shared" ref="P212:P222" si="29">SUM(H212:O212)</f>
        <v>17853.575000000001</v>
      </c>
    </row>
    <row r="213" spans="2:16" ht="34.9" hidden="1" customHeight="1">
      <c r="B213" s="15">
        <v>43862</v>
      </c>
      <c r="C213" s="10">
        <v>46612.800999999999</v>
      </c>
      <c r="D213" s="10">
        <v>618.30399999999997</v>
      </c>
      <c r="E213" s="10">
        <v>15056.762000000001</v>
      </c>
      <c r="F213" s="10">
        <v>21315.659</v>
      </c>
      <c r="G213" s="11">
        <f t="shared" si="28"/>
        <v>83603.525999999998</v>
      </c>
      <c r="H213" s="10">
        <v>306.548</v>
      </c>
      <c r="I213" s="10">
        <v>77.795000000000002</v>
      </c>
      <c r="J213" s="10">
        <v>1628.6780000000001</v>
      </c>
      <c r="K213" s="10">
        <v>5922.299</v>
      </c>
      <c r="L213" s="10">
        <v>344.541</v>
      </c>
      <c r="M213" s="10">
        <v>5.13</v>
      </c>
      <c r="N213" s="10">
        <v>9577.8860000000004</v>
      </c>
      <c r="O213" s="10">
        <v>3216.9369999999999</v>
      </c>
      <c r="P213" s="11">
        <f t="shared" si="29"/>
        <v>21079.813999999998</v>
      </c>
    </row>
    <row r="214" spans="2:16" ht="34.9" hidden="1" customHeight="1">
      <c r="B214" s="14" t="s">
        <v>129</v>
      </c>
      <c r="C214" s="6">
        <v>13553.99</v>
      </c>
      <c r="D214" s="6">
        <v>1018.7809999999999</v>
      </c>
      <c r="E214" s="6">
        <v>7817.527</v>
      </c>
      <c r="F214" s="6">
        <v>9082.6010000000006</v>
      </c>
      <c r="G214" s="7">
        <f t="shared" si="28"/>
        <v>31472.899000000005</v>
      </c>
      <c r="H214" s="6">
        <v>40.284999999999997</v>
      </c>
      <c r="I214" s="6">
        <v>47.27</v>
      </c>
      <c r="J214" s="6">
        <v>396.27600000000001</v>
      </c>
      <c r="K214" s="6">
        <v>1777.02</v>
      </c>
      <c r="L214" s="6">
        <v>128.494</v>
      </c>
      <c r="M214" s="6">
        <v>9.1349999999999998</v>
      </c>
      <c r="N214" s="6">
        <v>8046.6210000000001</v>
      </c>
      <c r="O214" s="6">
        <v>2435.1019999999999</v>
      </c>
      <c r="P214" s="7">
        <f t="shared" si="29"/>
        <v>12880.203000000001</v>
      </c>
    </row>
    <row r="215" spans="2:16" ht="34.9" hidden="1" customHeight="1">
      <c r="B215" s="15">
        <v>43952</v>
      </c>
      <c r="C215" s="10">
        <v>15005.725</v>
      </c>
      <c r="D215" s="10">
        <v>187.01400000000001</v>
      </c>
      <c r="E215" s="10">
        <v>701.98900000000003</v>
      </c>
      <c r="F215" s="10">
        <v>3731.6149999999998</v>
      </c>
      <c r="G215" s="11">
        <f t="shared" si="28"/>
        <v>19626.343000000001</v>
      </c>
      <c r="H215" s="10">
        <v>11.266</v>
      </c>
      <c r="I215" s="10">
        <v>18.936</v>
      </c>
      <c r="J215" s="10">
        <v>139.06399999999999</v>
      </c>
      <c r="K215" s="10">
        <v>485.92899999999997</v>
      </c>
      <c r="L215" s="10">
        <v>97.509</v>
      </c>
      <c r="M215" s="10">
        <v>0.26400000000000001</v>
      </c>
      <c r="N215" s="10">
        <v>4440.1859999999997</v>
      </c>
      <c r="O215" s="10">
        <v>1147.078</v>
      </c>
      <c r="P215" s="11">
        <f t="shared" si="29"/>
        <v>6340.232</v>
      </c>
    </row>
    <row r="216" spans="2:16" ht="34.9" hidden="1" customHeight="1">
      <c r="B216" s="14">
        <v>43983</v>
      </c>
      <c r="C216" s="6">
        <v>17643.964</v>
      </c>
      <c r="D216" s="6">
        <v>549.851</v>
      </c>
      <c r="E216" s="6">
        <v>16217.937</v>
      </c>
      <c r="F216" s="6">
        <v>20123.612000000001</v>
      </c>
      <c r="G216" s="7">
        <f t="shared" si="28"/>
        <v>54535.364000000001</v>
      </c>
      <c r="H216" s="6">
        <v>100.599</v>
      </c>
      <c r="I216" s="6">
        <v>185.43199999999999</v>
      </c>
      <c r="J216" s="6">
        <v>346.428</v>
      </c>
      <c r="K216" s="6">
        <v>3220.9630000000002</v>
      </c>
      <c r="L216" s="6">
        <v>319.06799999999998</v>
      </c>
      <c r="M216" s="6">
        <v>3.5049999999999999</v>
      </c>
      <c r="N216" s="6">
        <v>21688.221000000001</v>
      </c>
      <c r="O216" s="6">
        <v>4035.0810000000001</v>
      </c>
      <c r="P216" s="7">
        <f t="shared" si="29"/>
        <v>29899.296999999999</v>
      </c>
    </row>
    <row r="217" spans="2:16" ht="34.9" hidden="1" customHeight="1">
      <c r="B217" s="15">
        <v>44013</v>
      </c>
      <c r="C217" s="10">
        <v>35925.828999999998</v>
      </c>
      <c r="D217" s="10">
        <v>447.084</v>
      </c>
      <c r="E217" s="10">
        <v>13420.981</v>
      </c>
      <c r="F217" s="10">
        <v>21080.197</v>
      </c>
      <c r="G217" s="11">
        <f t="shared" si="28"/>
        <v>70874.091</v>
      </c>
      <c r="H217" s="10">
        <v>22.279</v>
      </c>
      <c r="I217" s="10">
        <v>208.14099999999999</v>
      </c>
      <c r="J217" s="10">
        <v>324.70999999999998</v>
      </c>
      <c r="K217" s="10">
        <v>1419.26</v>
      </c>
      <c r="L217" s="10">
        <v>215.88</v>
      </c>
      <c r="M217" s="10">
        <v>4.6870000000000003</v>
      </c>
      <c r="N217" s="10">
        <v>11527.677</v>
      </c>
      <c r="O217" s="10">
        <v>5524.6260000000002</v>
      </c>
      <c r="P217" s="11">
        <f t="shared" si="29"/>
        <v>19247.260000000002</v>
      </c>
    </row>
    <row r="218" spans="2:16" ht="34.9" hidden="1" customHeight="1">
      <c r="B218" s="14">
        <v>44044</v>
      </c>
      <c r="C218" s="6">
        <v>10848.746999999999</v>
      </c>
      <c r="D218" s="6">
        <v>6976.6719999999996</v>
      </c>
      <c r="E218" s="6">
        <v>19646.348999999998</v>
      </c>
      <c r="F218" s="6">
        <v>21992.059000000001</v>
      </c>
      <c r="G218" s="7">
        <f t="shared" si="28"/>
        <v>59463.826999999997</v>
      </c>
      <c r="H218" s="6">
        <v>19.521999999999998</v>
      </c>
      <c r="I218" s="6">
        <v>695.56899999999996</v>
      </c>
      <c r="J218" s="6">
        <v>1604.5609999999999</v>
      </c>
      <c r="K218" s="6">
        <v>3206.0889999999999</v>
      </c>
      <c r="L218" s="6">
        <v>1189.383</v>
      </c>
      <c r="M218" s="6">
        <v>2.19</v>
      </c>
      <c r="N218" s="6">
        <v>5831.3630000000003</v>
      </c>
      <c r="O218" s="6">
        <v>2369.6680000000001</v>
      </c>
      <c r="P218" s="7">
        <f t="shared" si="29"/>
        <v>14918.344999999999</v>
      </c>
    </row>
    <row r="219" spans="2:16" ht="34.9" hidden="1" customHeight="1">
      <c r="B219" s="15">
        <v>44075</v>
      </c>
      <c r="C219" s="10">
        <v>12553.915999999999</v>
      </c>
      <c r="D219" s="10">
        <v>1785.2360000000001</v>
      </c>
      <c r="E219" s="10">
        <v>17013.59</v>
      </c>
      <c r="F219" s="10">
        <v>21523.838</v>
      </c>
      <c r="G219" s="11">
        <f t="shared" si="28"/>
        <v>52876.58</v>
      </c>
      <c r="H219" s="10">
        <v>67.411000000000001</v>
      </c>
      <c r="I219" s="10">
        <v>407.76400000000001</v>
      </c>
      <c r="J219" s="10">
        <v>3163.7919999999999</v>
      </c>
      <c r="K219" s="10">
        <v>6539.5069999999996</v>
      </c>
      <c r="L219" s="10">
        <v>1979.2</v>
      </c>
      <c r="M219" s="10">
        <v>0</v>
      </c>
      <c r="N219" s="10">
        <v>10865.485000000001</v>
      </c>
      <c r="O219" s="10">
        <v>4839.5029999999997</v>
      </c>
      <c r="P219" s="11">
        <f t="shared" si="29"/>
        <v>27862.662</v>
      </c>
    </row>
    <row r="220" spans="2:16" ht="34.9" hidden="1" customHeight="1">
      <c r="B220" s="14">
        <v>44105</v>
      </c>
      <c r="C220" s="6">
        <v>7460.5349999999999</v>
      </c>
      <c r="D220" s="6">
        <v>1998.8389999999999</v>
      </c>
      <c r="E220" s="6">
        <v>15453.587</v>
      </c>
      <c r="F220" s="6">
        <v>18228.812999999998</v>
      </c>
      <c r="G220" s="7">
        <f t="shared" si="28"/>
        <v>43141.773999999998</v>
      </c>
      <c r="H220" s="6">
        <v>41.658000000000001</v>
      </c>
      <c r="I220" s="6">
        <v>253.809</v>
      </c>
      <c r="J220" s="6">
        <v>1044.8430000000001</v>
      </c>
      <c r="K220" s="6">
        <v>5190.3580000000002</v>
      </c>
      <c r="L220" s="6">
        <v>792.99900000000002</v>
      </c>
      <c r="M220" s="6">
        <v>0</v>
      </c>
      <c r="N220" s="6">
        <v>8162.9949999999999</v>
      </c>
      <c r="O220" s="6">
        <v>2603.299</v>
      </c>
      <c r="P220" s="7">
        <f t="shared" si="29"/>
        <v>18089.960999999999</v>
      </c>
    </row>
    <row r="221" spans="2:16" ht="34.9" hidden="1" customHeight="1">
      <c r="B221" s="15">
        <v>44136</v>
      </c>
      <c r="C221" s="10">
        <v>8526.6929999999993</v>
      </c>
      <c r="D221" s="10">
        <v>4776.9449999999997</v>
      </c>
      <c r="E221" s="10">
        <v>10803.668</v>
      </c>
      <c r="F221" s="10">
        <v>15632.237999999999</v>
      </c>
      <c r="G221" s="11">
        <f t="shared" si="28"/>
        <v>39739.543999999994</v>
      </c>
      <c r="H221" s="10">
        <v>90.385000000000005</v>
      </c>
      <c r="I221" s="10">
        <v>189.12299999999999</v>
      </c>
      <c r="J221" s="10">
        <v>767.82</v>
      </c>
      <c r="K221" s="10">
        <v>3810.1619999999998</v>
      </c>
      <c r="L221" s="10">
        <v>936.19399999999996</v>
      </c>
      <c r="M221" s="10">
        <v>0</v>
      </c>
      <c r="N221" s="10">
        <v>5140.0969999999998</v>
      </c>
      <c r="O221" s="10">
        <v>5218.7209999999995</v>
      </c>
      <c r="P221" s="11">
        <f t="shared" si="29"/>
        <v>16152.501999999999</v>
      </c>
    </row>
    <row r="222" spans="2:16" ht="34.9" hidden="1" customHeight="1">
      <c r="B222" s="14">
        <v>44166</v>
      </c>
      <c r="C222" s="6">
        <v>29144.672999999999</v>
      </c>
      <c r="D222" s="6">
        <v>8600.4359999999997</v>
      </c>
      <c r="E222" s="6">
        <v>19919.427</v>
      </c>
      <c r="F222" s="6">
        <v>68774.627999999997</v>
      </c>
      <c r="G222" s="7">
        <f t="shared" si="28"/>
        <v>126439.16399999999</v>
      </c>
      <c r="H222" s="6">
        <v>410.73099999999999</v>
      </c>
      <c r="I222" s="6">
        <v>480.90499999999997</v>
      </c>
      <c r="J222" s="6">
        <v>783.48199999999997</v>
      </c>
      <c r="K222" s="6">
        <v>5818.1580000000004</v>
      </c>
      <c r="L222" s="6">
        <v>766.90899999999999</v>
      </c>
      <c r="M222" s="6">
        <v>0</v>
      </c>
      <c r="N222" s="6">
        <v>7278.232</v>
      </c>
      <c r="O222" s="6">
        <v>10578.227000000001</v>
      </c>
      <c r="P222" s="7">
        <f t="shared" si="29"/>
        <v>26116.644</v>
      </c>
    </row>
    <row r="223" spans="2:16" ht="34.9" hidden="1" customHeight="1">
      <c r="B223" s="3">
        <v>2021</v>
      </c>
      <c r="C223" s="12"/>
      <c r="D223" s="12"/>
      <c r="E223" s="12"/>
      <c r="F223" s="12"/>
      <c r="G223" s="13"/>
      <c r="H223" s="12"/>
      <c r="I223" s="12"/>
      <c r="J223" s="12"/>
      <c r="K223" s="12"/>
      <c r="L223" s="12"/>
      <c r="M223" s="12"/>
      <c r="N223" s="12"/>
      <c r="O223" s="12"/>
      <c r="P223" s="13"/>
    </row>
    <row r="224" spans="2:16" ht="34.9" hidden="1" customHeight="1">
      <c r="B224" s="14">
        <v>44197</v>
      </c>
      <c r="C224" s="6">
        <v>77230.975999999995</v>
      </c>
      <c r="D224" s="6">
        <v>2784.6219999999998</v>
      </c>
      <c r="E224" s="6">
        <v>15214.93</v>
      </c>
      <c r="F224" s="6">
        <v>51450.77</v>
      </c>
      <c r="G224" s="7">
        <f t="shared" ref="G224:G235" si="30">SUM(C224:F224)</f>
        <v>146681.29799999998</v>
      </c>
      <c r="H224" s="6">
        <v>44.136000000000003</v>
      </c>
      <c r="I224" s="6">
        <v>138.09800000000001</v>
      </c>
      <c r="J224" s="6">
        <v>477.12599999999998</v>
      </c>
      <c r="K224" s="6">
        <v>7209.0929999999998</v>
      </c>
      <c r="L224" s="6">
        <v>3335.7779999999998</v>
      </c>
      <c r="M224" s="6">
        <v>0</v>
      </c>
      <c r="N224" s="6">
        <v>10460.587</v>
      </c>
      <c r="O224" s="6">
        <v>13918.133</v>
      </c>
      <c r="P224" s="7">
        <f t="shared" ref="P224:P235" si="31">SUM(H224:O224)</f>
        <v>35582.951000000001</v>
      </c>
    </row>
    <row r="225" spans="2:16" ht="34.9" hidden="1" customHeight="1">
      <c r="B225" s="15">
        <v>44228</v>
      </c>
      <c r="C225" s="10">
        <v>21340.891</v>
      </c>
      <c r="D225" s="10">
        <v>1698.078</v>
      </c>
      <c r="E225" s="10">
        <v>7754.433</v>
      </c>
      <c r="F225" s="10">
        <v>26902.331999999999</v>
      </c>
      <c r="G225" s="11">
        <f t="shared" si="30"/>
        <v>57695.733999999997</v>
      </c>
      <c r="H225" s="10">
        <v>5.7949999999999999</v>
      </c>
      <c r="I225" s="10">
        <v>135.58500000000001</v>
      </c>
      <c r="J225" s="10">
        <v>188.983</v>
      </c>
      <c r="K225" s="10">
        <v>9334.3970000000008</v>
      </c>
      <c r="L225" s="10">
        <v>417.98200000000003</v>
      </c>
      <c r="M225" s="10">
        <v>0</v>
      </c>
      <c r="N225" s="10">
        <v>20938.831999999999</v>
      </c>
      <c r="O225" s="10">
        <v>11886.665999999999</v>
      </c>
      <c r="P225" s="11">
        <f t="shared" si="31"/>
        <v>42908.24</v>
      </c>
    </row>
    <row r="226" spans="2:16" ht="34.9" hidden="1" customHeight="1">
      <c r="B226" s="14">
        <v>44256</v>
      </c>
      <c r="C226" s="6">
        <v>17102.469000000001</v>
      </c>
      <c r="D226" s="6">
        <v>7032.6059999999998</v>
      </c>
      <c r="E226" s="6">
        <v>12796.605</v>
      </c>
      <c r="F226" s="6">
        <v>27322.803</v>
      </c>
      <c r="G226" s="7">
        <f t="shared" si="30"/>
        <v>64254.483</v>
      </c>
      <c r="H226" s="6">
        <v>25.532</v>
      </c>
      <c r="I226" s="6">
        <v>5901.7849999999999</v>
      </c>
      <c r="J226" s="6">
        <v>724.01800000000003</v>
      </c>
      <c r="K226" s="6">
        <v>9743.5910000000003</v>
      </c>
      <c r="L226" s="6">
        <v>1481.2760000000001</v>
      </c>
      <c r="M226" s="6">
        <v>0</v>
      </c>
      <c r="N226" s="6">
        <v>22664.06</v>
      </c>
      <c r="O226" s="6">
        <v>13711.721</v>
      </c>
      <c r="P226" s="7">
        <f t="shared" si="31"/>
        <v>54251.983</v>
      </c>
    </row>
    <row r="227" spans="2:16" ht="34.9" hidden="1" customHeight="1">
      <c r="B227" s="15">
        <v>44287</v>
      </c>
      <c r="C227" s="10">
        <v>18139.425999999999</v>
      </c>
      <c r="D227" s="10">
        <v>2843.1019999999999</v>
      </c>
      <c r="E227" s="10">
        <v>6943.9139999999998</v>
      </c>
      <c r="F227" s="10">
        <v>34308.654000000002</v>
      </c>
      <c r="G227" s="11">
        <f t="shared" si="30"/>
        <v>62235.096000000005</v>
      </c>
      <c r="H227" s="10">
        <v>2.169</v>
      </c>
      <c r="I227" s="10">
        <v>248.35900000000001</v>
      </c>
      <c r="J227" s="10">
        <v>128.36199999999999</v>
      </c>
      <c r="K227" s="10">
        <v>4065.393</v>
      </c>
      <c r="L227" s="10">
        <v>579.95799999999997</v>
      </c>
      <c r="M227" s="10">
        <v>0</v>
      </c>
      <c r="N227" s="10">
        <v>19098.433000000001</v>
      </c>
      <c r="O227" s="10">
        <v>9703.2540000000008</v>
      </c>
      <c r="P227" s="11">
        <f t="shared" si="31"/>
        <v>33825.928</v>
      </c>
    </row>
    <row r="228" spans="2:16" ht="34.9" hidden="1" customHeight="1">
      <c r="B228" s="14">
        <v>44317</v>
      </c>
      <c r="C228" s="6">
        <v>61991.775999999998</v>
      </c>
      <c r="D228" s="6">
        <v>390.15499999999997</v>
      </c>
      <c r="E228" s="6">
        <v>7178.5010000000002</v>
      </c>
      <c r="F228" s="6">
        <v>31996.048999999999</v>
      </c>
      <c r="G228" s="7">
        <f t="shared" si="30"/>
        <v>101556.481</v>
      </c>
      <c r="H228" s="6">
        <v>46.758000000000003</v>
      </c>
      <c r="I228" s="6">
        <v>396.43299999999999</v>
      </c>
      <c r="J228" s="6">
        <v>1579.425</v>
      </c>
      <c r="K228" s="6">
        <v>4713.1350000000002</v>
      </c>
      <c r="L228" s="6">
        <v>3721.1590000000001</v>
      </c>
      <c r="M228" s="6">
        <v>0</v>
      </c>
      <c r="N228" s="6">
        <v>38355.728999999999</v>
      </c>
      <c r="O228" s="6">
        <v>4917.7700000000004</v>
      </c>
      <c r="P228" s="7">
        <f t="shared" si="31"/>
        <v>53730.409</v>
      </c>
    </row>
    <row r="229" spans="2:16" ht="34.9" hidden="1" customHeight="1">
      <c r="B229" s="15">
        <v>44348</v>
      </c>
      <c r="C229" s="10">
        <v>49264.273000000001</v>
      </c>
      <c r="D229" s="10">
        <v>6059.0550000000003</v>
      </c>
      <c r="E229" s="10">
        <v>12242.732</v>
      </c>
      <c r="F229" s="10">
        <v>43417.271999999997</v>
      </c>
      <c r="G229" s="11">
        <f t="shared" si="30"/>
        <v>110983.33199999999</v>
      </c>
      <c r="H229" s="10">
        <v>12.552</v>
      </c>
      <c r="I229" s="10">
        <v>412.73500000000001</v>
      </c>
      <c r="J229" s="10">
        <v>561.55499999999995</v>
      </c>
      <c r="K229" s="10">
        <v>5634.2929999999997</v>
      </c>
      <c r="L229" s="10">
        <v>5078.9830000000002</v>
      </c>
      <c r="M229" s="10">
        <v>0</v>
      </c>
      <c r="N229" s="10">
        <v>46803.053999999996</v>
      </c>
      <c r="O229" s="10">
        <v>9370.02</v>
      </c>
      <c r="P229" s="11">
        <f t="shared" si="31"/>
        <v>67873.191999999995</v>
      </c>
    </row>
    <row r="230" spans="2:16" ht="34.9" hidden="1" customHeight="1">
      <c r="B230" s="14">
        <v>44378</v>
      </c>
      <c r="C230" s="6">
        <v>17035.825000000001</v>
      </c>
      <c r="D230" s="6">
        <v>1916.0650000000001</v>
      </c>
      <c r="E230" s="6">
        <v>9365.1389999999992</v>
      </c>
      <c r="F230" s="6">
        <v>24767.367999999999</v>
      </c>
      <c r="G230" s="7">
        <f t="shared" si="30"/>
        <v>53084.396999999997</v>
      </c>
      <c r="H230" s="6">
        <v>8.1110000000000007</v>
      </c>
      <c r="I230" s="6">
        <v>209.221</v>
      </c>
      <c r="J230" s="6">
        <v>359.00299999999999</v>
      </c>
      <c r="K230" s="6">
        <v>2835.002</v>
      </c>
      <c r="L230" s="6">
        <v>852.79399999999998</v>
      </c>
      <c r="M230" s="6">
        <v>0</v>
      </c>
      <c r="N230" s="6">
        <v>26318.192999999999</v>
      </c>
      <c r="O230" s="6">
        <v>5041.4949999999999</v>
      </c>
      <c r="P230" s="7">
        <f t="shared" si="31"/>
        <v>35623.819000000003</v>
      </c>
    </row>
    <row r="231" spans="2:16" ht="34.9" hidden="1" customHeight="1">
      <c r="B231" s="15">
        <v>44409</v>
      </c>
      <c r="C231" s="10">
        <v>18128.670999999998</v>
      </c>
      <c r="D231" s="10">
        <v>1392.345</v>
      </c>
      <c r="E231" s="10">
        <v>9283.6049999999996</v>
      </c>
      <c r="F231" s="10">
        <v>37536.182000000001</v>
      </c>
      <c r="G231" s="11">
        <f t="shared" si="30"/>
        <v>66340.803</v>
      </c>
      <c r="H231" s="10">
        <v>41.219000000000001</v>
      </c>
      <c r="I231" s="10">
        <v>168.059</v>
      </c>
      <c r="J231" s="10">
        <v>851.23099999999999</v>
      </c>
      <c r="K231" s="10">
        <v>2582.2240000000002</v>
      </c>
      <c r="L231" s="10">
        <v>974.21199999999999</v>
      </c>
      <c r="M231" s="10">
        <v>0</v>
      </c>
      <c r="N231" s="10">
        <v>23126.393</v>
      </c>
      <c r="O231" s="10">
        <v>3880.5349999999999</v>
      </c>
      <c r="P231" s="11">
        <f t="shared" si="31"/>
        <v>31623.873</v>
      </c>
    </row>
    <row r="232" spans="2:16" ht="34.9" hidden="1" customHeight="1">
      <c r="B232" s="14">
        <v>44440</v>
      </c>
      <c r="C232" s="6">
        <v>21503.914000000001</v>
      </c>
      <c r="D232" s="6">
        <v>1217.9580000000001</v>
      </c>
      <c r="E232" s="6">
        <v>9950.8320000000003</v>
      </c>
      <c r="F232" s="6">
        <v>57711.21</v>
      </c>
      <c r="G232" s="7">
        <f t="shared" si="30"/>
        <v>90383.91399999999</v>
      </c>
      <c r="H232" s="6">
        <v>347.88400000000001</v>
      </c>
      <c r="I232" s="6">
        <v>243.417</v>
      </c>
      <c r="J232" s="6">
        <v>3476.5309999999999</v>
      </c>
      <c r="K232" s="6">
        <v>3112.049</v>
      </c>
      <c r="L232" s="6">
        <v>521.26099999999997</v>
      </c>
      <c r="M232" s="6">
        <v>0</v>
      </c>
      <c r="N232" s="6">
        <v>15717.473</v>
      </c>
      <c r="O232" s="6">
        <v>10473.279</v>
      </c>
      <c r="P232" s="7">
        <f t="shared" si="31"/>
        <v>33891.894</v>
      </c>
    </row>
    <row r="233" spans="2:16" ht="34.9" hidden="1" customHeight="1">
      <c r="B233" s="15">
        <v>44470</v>
      </c>
      <c r="C233" s="10">
        <v>21728.708999999999</v>
      </c>
      <c r="D233" s="10">
        <v>3050.6469999999999</v>
      </c>
      <c r="E233" s="10">
        <v>7205.7640000000001</v>
      </c>
      <c r="F233" s="10">
        <v>26733.739000000001</v>
      </c>
      <c r="G233" s="11">
        <f t="shared" si="30"/>
        <v>58718.858999999997</v>
      </c>
      <c r="H233" s="10">
        <v>187.32599999999999</v>
      </c>
      <c r="I233" s="10">
        <v>570.06100000000004</v>
      </c>
      <c r="J233" s="10">
        <v>389.79399999999998</v>
      </c>
      <c r="K233" s="10">
        <v>3895.8980000000001</v>
      </c>
      <c r="L233" s="10">
        <v>1768.1379999999999</v>
      </c>
      <c r="M233" s="10">
        <v>0</v>
      </c>
      <c r="N233" s="10">
        <v>18805.476999999999</v>
      </c>
      <c r="O233" s="10">
        <v>8373.7999999999993</v>
      </c>
      <c r="P233" s="11">
        <f t="shared" si="31"/>
        <v>33990.493999999999</v>
      </c>
    </row>
    <row r="234" spans="2:16" ht="34.9" hidden="1" customHeight="1">
      <c r="B234" s="14">
        <v>44501</v>
      </c>
      <c r="C234" s="6">
        <v>18582.445</v>
      </c>
      <c r="D234" s="6">
        <v>3913.1190000000001</v>
      </c>
      <c r="E234" s="6">
        <v>10761.843000000001</v>
      </c>
      <c r="F234" s="6">
        <v>33716.264999999999</v>
      </c>
      <c r="G234" s="7">
        <f t="shared" si="30"/>
        <v>66973.671999999991</v>
      </c>
      <c r="H234" s="6">
        <v>39.396000000000001</v>
      </c>
      <c r="I234" s="6">
        <v>752.52700000000004</v>
      </c>
      <c r="J234" s="6">
        <v>780.84400000000005</v>
      </c>
      <c r="K234" s="6">
        <v>4144.5749999999998</v>
      </c>
      <c r="L234" s="6">
        <v>352.44099999999997</v>
      </c>
      <c r="M234" s="6">
        <v>0</v>
      </c>
      <c r="N234" s="6">
        <v>14492.378000000001</v>
      </c>
      <c r="O234" s="6">
        <v>13917.370999999999</v>
      </c>
      <c r="P234" s="7">
        <f t="shared" si="31"/>
        <v>34479.531999999999</v>
      </c>
    </row>
    <row r="235" spans="2:16" ht="34.9" hidden="1" customHeight="1">
      <c r="B235" s="15">
        <v>44531</v>
      </c>
      <c r="C235" s="10">
        <v>41476.665000000001</v>
      </c>
      <c r="D235" s="10">
        <v>4184.5429999999997</v>
      </c>
      <c r="E235" s="10">
        <v>9748.4680000000008</v>
      </c>
      <c r="F235" s="10">
        <v>49249.807999999997</v>
      </c>
      <c r="G235" s="11">
        <f t="shared" si="30"/>
        <v>104659.484</v>
      </c>
      <c r="H235" s="10">
        <v>13.294</v>
      </c>
      <c r="I235" s="10">
        <v>375.35</v>
      </c>
      <c r="J235" s="10">
        <v>818.66899999999998</v>
      </c>
      <c r="K235" s="10">
        <v>2084.873</v>
      </c>
      <c r="L235" s="10">
        <v>319.22000000000003</v>
      </c>
      <c r="M235" s="10">
        <v>0</v>
      </c>
      <c r="N235" s="10">
        <v>13066.459000000001</v>
      </c>
      <c r="O235" s="10">
        <v>9709.6990000000005</v>
      </c>
      <c r="P235" s="11">
        <f t="shared" si="31"/>
        <v>26387.564000000002</v>
      </c>
    </row>
    <row r="236" spans="2:16" s="8" customFormat="1" ht="34.9" hidden="1" customHeight="1">
      <c r="B236" s="3">
        <v>2022</v>
      </c>
      <c r="C236" s="12"/>
      <c r="D236" s="12"/>
      <c r="E236" s="12"/>
      <c r="F236" s="12"/>
      <c r="G236" s="13"/>
      <c r="H236" s="12"/>
      <c r="I236" s="12"/>
      <c r="J236" s="12"/>
      <c r="K236" s="12"/>
      <c r="L236" s="12"/>
      <c r="M236" s="12"/>
      <c r="N236" s="12"/>
      <c r="O236" s="12"/>
      <c r="P236" s="13"/>
    </row>
    <row r="237" spans="2:16" ht="34.9" hidden="1" customHeight="1">
      <c r="B237" s="14">
        <v>44562</v>
      </c>
      <c r="C237" s="6">
        <v>27551.308000000001</v>
      </c>
      <c r="D237" s="6">
        <v>2687.3829999999998</v>
      </c>
      <c r="E237" s="6">
        <v>5751.1970000000001</v>
      </c>
      <c r="F237" s="6">
        <v>26246.055</v>
      </c>
      <c r="G237" s="7">
        <f t="shared" ref="G237:G248" si="32">SUM(C237:F237)</f>
        <v>62235.942999999999</v>
      </c>
      <c r="H237" s="6">
        <v>211.32400000000001</v>
      </c>
      <c r="I237" s="6">
        <v>345.512</v>
      </c>
      <c r="J237" s="6">
        <v>1277.8969999999999</v>
      </c>
      <c r="K237" s="6">
        <v>1485.106</v>
      </c>
      <c r="L237" s="6">
        <v>663.3</v>
      </c>
      <c r="M237" s="6">
        <v>0</v>
      </c>
      <c r="N237" s="6">
        <v>20768.57</v>
      </c>
      <c r="O237" s="6">
        <v>6245.91</v>
      </c>
      <c r="P237" s="7">
        <f t="shared" ref="P237:P248" si="33">SUM(H237:O237)</f>
        <v>30997.618999999999</v>
      </c>
    </row>
    <row r="238" spans="2:16" ht="34.9" hidden="1" customHeight="1">
      <c r="B238" s="15">
        <v>44593</v>
      </c>
      <c r="C238" s="10">
        <v>33623.792000000001</v>
      </c>
      <c r="D238" s="10">
        <v>4817.57</v>
      </c>
      <c r="E238" s="10">
        <v>6679.5439999999999</v>
      </c>
      <c r="F238" s="10">
        <v>23762.243999999999</v>
      </c>
      <c r="G238" s="11">
        <f t="shared" si="32"/>
        <v>68883.149999999994</v>
      </c>
      <c r="H238" s="10">
        <v>91.013000000000005</v>
      </c>
      <c r="I238" s="10">
        <v>220.99600000000001</v>
      </c>
      <c r="J238" s="10">
        <v>569.52200000000005</v>
      </c>
      <c r="K238" s="10">
        <v>1452.204</v>
      </c>
      <c r="L238" s="10">
        <v>4336.09</v>
      </c>
      <c r="M238" s="10">
        <v>0</v>
      </c>
      <c r="N238" s="10">
        <v>12600.637000000001</v>
      </c>
      <c r="O238" s="10">
        <v>8046.1530000000002</v>
      </c>
      <c r="P238" s="11">
        <f t="shared" si="33"/>
        <v>27316.614999999998</v>
      </c>
    </row>
    <row r="239" spans="2:16" ht="34.9" hidden="1" customHeight="1">
      <c r="B239" s="14">
        <v>44621</v>
      </c>
      <c r="C239" s="6">
        <v>23369.940999999999</v>
      </c>
      <c r="D239" s="6">
        <v>1922.3579999999999</v>
      </c>
      <c r="E239" s="6">
        <v>8863.4639999999999</v>
      </c>
      <c r="F239" s="6">
        <v>27139.473999999998</v>
      </c>
      <c r="G239" s="7">
        <f t="shared" si="32"/>
        <v>61295.236999999994</v>
      </c>
      <c r="H239" s="6">
        <v>707.73500000000001</v>
      </c>
      <c r="I239" s="6">
        <v>264.38299999999998</v>
      </c>
      <c r="J239" s="6">
        <v>547.61500000000001</v>
      </c>
      <c r="K239" s="6">
        <v>1818.1110000000001</v>
      </c>
      <c r="L239" s="6">
        <v>12376.156999999999</v>
      </c>
      <c r="M239" s="6">
        <v>0</v>
      </c>
      <c r="N239" s="6">
        <v>17958.478999999999</v>
      </c>
      <c r="O239" s="6">
        <v>6041.8230000000003</v>
      </c>
      <c r="P239" s="7">
        <f t="shared" si="33"/>
        <v>39714.303</v>
      </c>
    </row>
    <row r="240" spans="2:16" ht="34.9" hidden="1" customHeight="1">
      <c r="B240" s="15">
        <v>44652</v>
      </c>
      <c r="C240" s="10">
        <v>43584.686999999998</v>
      </c>
      <c r="D240" s="10">
        <v>1555.1420000000001</v>
      </c>
      <c r="E240" s="10">
        <v>1370.788</v>
      </c>
      <c r="F240" s="10">
        <v>15873.005999999999</v>
      </c>
      <c r="G240" s="11">
        <f t="shared" si="32"/>
        <v>62383.623</v>
      </c>
      <c r="H240" s="10">
        <v>550.95299999999997</v>
      </c>
      <c r="I240" s="10">
        <v>79.353999999999999</v>
      </c>
      <c r="J240" s="10">
        <v>388.262</v>
      </c>
      <c r="K240" s="10">
        <v>1033.5440000000001</v>
      </c>
      <c r="L240" s="10">
        <v>6375.692</v>
      </c>
      <c r="M240" s="10">
        <v>0</v>
      </c>
      <c r="N240" s="10">
        <v>29503.004000000001</v>
      </c>
      <c r="O240" s="10">
        <v>4142.8990000000003</v>
      </c>
      <c r="P240" s="11">
        <f t="shared" si="33"/>
        <v>42073.707999999999</v>
      </c>
    </row>
    <row r="241" spans="2:16" ht="34.9" hidden="1" customHeight="1">
      <c r="B241" s="14">
        <v>44682</v>
      </c>
      <c r="C241" s="6">
        <v>31654.094000000001</v>
      </c>
      <c r="D241" s="6">
        <v>3891.0630000000001</v>
      </c>
      <c r="E241" s="6">
        <v>4377.2179999999998</v>
      </c>
      <c r="F241" s="6">
        <v>16894.983</v>
      </c>
      <c r="G241" s="7">
        <f t="shared" si="32"/>
        <v>56817.358</v>
      </c>
      <c r="H241" s="6">
        <v>475.52100000000002</v>
      </c>
      <c r="I241" s="6">
        <v>338.15199999999999</v>
      </c>
      <c r="J241" s="6">
        <v>867.88900000000001</v>
      </c>
      <c r="K241" s="6">
        <v>1181.135</v>
      </c>
      <c r="L241" s="6">
        <v>4269.4070000000002</v>
      </c>
      <c r="M241" s="6">
        <v>0</v>
      </c>
      <c r="N241" s="6">
        <v>62481.764999999999</v>
      </c>
      <c r="O241" s="6">
        <v>4553.576</v>
      </c>
      <c r="P241" s="7">
        <f t="shared" si="33"/>
        <v>74167.445000000007</v>
      </c>
    </row>
    <row r="242" spans="2:16" ht="34.9" hidden="1" customHeight="1">
      <c r="B242" s="15">
        <v>44713</v>
      </c>
      <c r="C242" s="10">
        <v>66221.910999999993</v>
      </c>
      <c r="D242" s="10">
        <v>9953.1080000000002</v>
      </c>
      <c r="E242" s="10">
        <v>21405.637999999999</v>
      </c>
      <c r="F242" s="10">
        <v>26652.884999999998</v>
      </c>
      <c r="G242" s="11">
        <f t="shared" si="32"/>
        <v>124233.542</v>
      </c>
      <c r="H242" s="10">
        <v>349.39699999999999</v>
      </c>
      <c r="I242" s="10">
        <v>140.16499999999999</v>
      </c>
      <c r="J242" s="10">
        <v>430.80399999999997</v>
      </c>
      <c r="K242" s="10">
        <v>730.76099999999997</v>
      </c>
      <c r="L242" s="10">
        <v>12513.705</v>
      </c>
      <c r="M242" s="10">
        <v>0</v>
      </c>
      <c r="N242" s="10">
        <v>39016.834000000003</v>
      </c>
      <c r="O242" s="10">
        <v>4852.9009999999998</v>
      </c>
      <c r="P242" s="11">
        <f t="shared" si="33"/>
        <v>58034.567000000003</v>
      </c>
    </row>
    <row r="243" spans="2:16" ht="34.9" hidden="1" customHeight="1">
      <c r="B243" s="14">
        <v>44743</v>
      </c>
      <c r="C243" s="6">
        <v>34062.991999999998</v>
      </c>
      <c r="D243" s="6">
        <v>7186.8940000000002</v>
      </c>
      <c r="E243" s="6">
        <v>5287.98</v>
      </c>
      <c r="F243" s="6">
        <v>11621.859</v>
      </c>
      <c r="G243" s="7">
        <f t="shared" si="32"/>
        <v>58159.724999999991</v>
      </c>
      <c r="H243" s="6">
        <v>117.322</v>
      </c>
      <c r="I243" s="6">
        <v>297.76799999999997</v>
      </c>
      <c r="J243" s="6">
        <v>369.28100000000001</v>
      </c>
      <c r="K243" s="6">
        <v>1002.651</v>
      </c>
      <c r="L243" s="6">
        <v>4565.5820000000003</v>
      </c>
      <c r="M243" s="6">
        <v>0</v>
      </c>
      <c r="N243" s="6">
        <v>76642.425000000003</v>
      </c>
      <c r="O243" s="6">
        <v>6700.1180000000004</v>
      </c>
      <c r="P243" s="7">
        <f t="shared" si="33"/>
        <v>89695.147000000012</v>
      </c>
    </row>
    <row r="244" spans="2:16" ht="34.9" hidden="1" customHeight="1">
      <c r="B244" s="15">
        <v>44774</v>
      </c>
      <c r="C244" s="10">
        <v>140451.03099999999</v>
      </c>
      <c r="D244" s="10">
        <v>3872.84</v>
      </c>
      <c r="E244" s="10">
        <v>5104.7169999999996</v>
      </c>
      <c r="F244" s="10">
        <v>17272.819</v>
      </c>
      <c r="G244" s="11">
        <f t="shared" si="32"/>
        <v>166701.40699999998</v>
      </c>
      <c r="H244" s="10">
        <v>179.98</v>
      </c>
      <c r="I244" s="10">
        <v>185.54599999999999</v>
      </c>
      <c r="J244" s="10">
        <v>477.86200000000002</v>
      </c>
      <c r="K244" s="10">
        <v>855.98400000000004</v>
      </c>
      <c r="L244" s="10">
        <v>14208.683999999999</v>
      </c>
      <c r="M244" s="10">
        <v>0</v>
      </c>
      <c r="N244" s="10">
        <v>57823.192000000003</v>
      </c>
      <c r="O244" s="10">
        <v>7535.393</v>
      </c>
      <c r="P244" s="11">
        <f t="shared" si="33"/>
        <v>81266.641000000003</v>
      </c>
    </row>
    <row r="245" spans="2:16" s="8" customFormat="1" ht="34.9" hidden="1" customHeight="1">
      <c r="B245" s="14">
        <v>44805</v>
      </c>
      <c r="C245" s="6">
        <v>13746.581</v>
      </c>
      <c r="D245" s="6">
        <v>1519.5920000000001</v>
      </c>
      <c r="E245" s="6">
        <v>8148.1530000000002</v>
      </c>
      <c r="F245" s="6">
        <v>29530.48</v>
      </c>
      <c r="G245" s="7">
        <f t="shared" si="32"/>
        <v>52944.805999999997</v>
      </c>
      <c r="H245" s="6">
        <v>292.21100000000001</v>
      </c>
      <c r="I245" s="6">
        <v>454.19400000000002</v>
      </c>
      <c r="J245" s="6">
        <v>349.78800000000001</v>
      </c>
      <c r="K245" s="6">
        <v>496.58300000000003</v>
      </c>
      <c r="L245" s="6">
        <v>11027.605</v>
      </c>
      <c r="M245" s="6">
        <v>0</v>
      </c>
      <c r="N245" s="6">
        <v>29459.123</v>
      </c>
      <c r="O245" s="6">
        <v>2184.8919999999998</v>
      </c>
      <c r="P245" s="7">
        <f t="shared" si="33"/>
        <v>44264.396000000001</v>
      </c>
    </row>
    <row r="246" spans="2:16" s="8" customFormat="1" ht="34.9" hidden="1" customHeight="1">
      <c r="B246" s="15">
        <v>44835</v>
      </c>
      <c r="C246" s="10">
        <v>12251.561</v>
      </c>
      <c r="D246" s="10">
        <v>3657.5770000000002</v>
      </c>
      <c r="E246" s="10">
        <v>6702.63</v>
      </c>
      <c r="F246" s="10">
        <v>13979.244000000001</v>
      </c>
      <c r="G246" s="11">
        <f t="shared" si="32"/>
        <v>36591.012000000002</v>
      </c>
      <c r="H246" s="10">
        <v>209.92599999999999</v>
      </c>
      <c r="I246" s="10">
        <v>308.428</v>
      </c>
      <c r="J246" s="10">
        <v>611.64300000000003</v>
      </c>
      <c r="K246" s="10">
        <v>838.279</v>
      </c>
      <c r="L246" s="10">
        <v>11901.092000000001</v>
      </c>
      <c r="M246" s="10">
        <v>0</v>
      </c>
      <c r="N246" s="10">
        <v>34020.567000000003</v>
      </c>
      <c r="O246" s="10">
        <v>16053.699000000001</v>
      </c>
      <c r="P246" s="11">
        <f t="shared" si="33"/>
        <v>63943.634000000005</v>
      </c>
    </row>
    <row r="247" spans="2:16" s="8" customFormat="1" ht="34.9" hidden="1" customHeight="1">
      <c r="B247" s="14">
        <v>44866</v>
      </c>
      <c r="C247" s="6">
        <v>12330.236999999999</v>
      </c>
      <c r="D247" s="6">
        <v>24455.987000000001</v>
      </c>
      <c r="E247" s="6">
        <v>5905.3940000000002</v>
      </c>
      <c r="F247" s="6">
        <v>7451.1379999999999</v>
      </c>
      <c r="G247" s="7">
        <f t="shared" si="32"/>
        <v>50142.756000000001</v>
      </c>
      <c r="H247" s="6">
        <v>102.40300000000001</v>
      </c>
      <c r="I247" s="6">
        <v>873.87800000000004</v>
      </c>
      <c r="J247" s="6">
        <v>1220.376</v>
      </c>
      <c r="K247" s="6">
        <v>680.05399999999997</v>
      </c>
      <c r="L247" s="6">
        <v>6145.2849999999999</v>
      </c>
      <c r="M247" s="6">
        <v>0</v>
      </c>
      <c r="N247" s="6">
        <v>18956.321</v>
      </c>
      <c r="O247" s="6">
        <v>12033.737999999999</v>
      </c>
      <c r="P247" s="7">
        <f t="shared" si="33"/>
        <v>40012.055</v>
      </c>
    </row>
    <row r="248" spans="2:16" s="8" customFormat="1" ht="34.9" hidden="1" customHeight="1">
      <c r="B248" s="15">
        <v>44896</v>
      </c>
      <c r="C248" s="10">
        <v>10898.593999999999</v>
      </c>
      <c r="D248" s="10">
        <v>2892.9850000000001</v>
      </c>
      <c r="E248" s="10">
        <v>10391.239</v>
      </c>
      <c r="F248" s="10">
        <v>8169.11</v>
      </c>
      <c r="G248" s="11">
        <f t="shared" si="32"/>
        <v>32351.928</v>
      </c>
      <c r="H248" s="10">
        <v>301.26</v>
      </c>
      <c r="I248" s="10">
        <v>479.55799999999999</v>
      </c>
      <c r="J248" s="10">
        <v>139.02000000000001</v>
      </c>
      <c r="K248" s="10">
        <v>434.78699999999998</v>
      </c>
      <c r="L248" s="10">
        <v>8574.7579999999998</v>
      </c>
      <c r="M248" s="10">
        <v>0</v>
      </c>
      <c r="N248" s="10">
        <v>15759.851000000001</v>
      </c>
      <c r="O248" s="10">
        <v>7776.6329999999998</v>
      </c>
      <c r="P248" s="11">
        <f t="shared" si="33"/>
        <v>33465.866999999998</v>
      </c>
    </row>
    <row r="249" spans="2:16" s="8" customFormat="1" ht="34.9" hidden="1" customHeight="1">
      <c r="B249" s="3">
        <v>2023</v>
      </c>
      <c r="C249" s="12"/>
      <c r="D249" s="12"/>
      <c r="E249" s="12"/>
      <c r="F249" s="12"/>
      <c r="G249" s="13"/>
      <c r="H249" s="12"/>
      <c r="I249" s="12"/>
      <c r="J249" s="12"/>
      <c r="K249" s="12"/>
      <c r="L249" s="12"/>
      <c r="M249" s="12"/>
      <c r="N249" s="12"/>
      <c r="O249" s="12"/>
      <c r="P249" s="13"/>
    </row>
    <row r="250" spans="2:16" s="8" customFormat="1" ht="34.9" hidden="1" customHeight="1">
      <c r="B250" s="14">
        <v>44927</v>
      </c>
      <c r="C250" s="6">
        <v>28171.462</v>
      </c>
      <c r="D250" s="6">
        <v>6359.1049999999996</v>
      </c>
      <c r="E250" s="6">
        <v>9982.9009999999998</v>
      </c>
      <c r="F250" s="6">
        <v>13528.746999999999</v>
      </c>
      <c r="G250" s="7">
        <f t="shared" ref="G250:G263" si="34">SUM(C250:F250)</f>
        <v>58042.214999999997</v>
      </c>
      <c r="H250" s="6">
        <v>24.739000000000001</v>
      </c>
      <c r="I250" s="6">
        <v>118.017</v>
      </c>
      <c r="J250" s="6">
        <v>101.41</v>
      </c>
      <c r="K250" s="6">
        <v>862.077</v>
      </c>
      <c r="L250" s="6">
        <v>11013.808000000001</v>
      </c>
      <c r="M250" s="6">
        <v>0</v>
      </c>
      <c r="N250" s="6">
        <v>57945.964</v>
      </c>
      <c r="O250" s="6">
        <v>3250.567</v>
      </c>
      <c r="P250" s="7">
        <f t="shared" ref="P250:P263" si="35">SUM(H250:O250)</f>
        <v>73316.581999999995</v>
      </c>
    </row>
    <row r="251" spans="2:16" s="8" customFormat="1" ht="34.9" hidden="1" customHeight="1">
      <c r="B251" s="15">
        <v>44958</v>
      </c>
      <c r="C251" s="10">
        <v>24359.033000000003</v>
      </c>
      <c r="D251" s="10">
        <v>7472.0739999999996</v>
      </c>
      <c r="E251" s="10">
        <v>13434.512000000001</v>
      </c>
      <c r="F251" s="10">
        <v>14144.831</v>
      </c>
      <c r="G251" s="11">
        <f t="shared" si="34"/>
        <v>59410.450000000004</v>
      </c>
      <c r="H251" s="10">
        <v>32.359000000000002</v>
      </c>
      <c r="I251" s="10">
        <v>131.24700000000001</v>
      </c>
      <c r="J251" s="10">
        <v>263.05399999999997</v>
      </c>
      <c r="K251" s="10">
        <v>1046.991</v>
      </c>
      <c r="L251" s="10">
        <v>14906.153</v>
      </c>
      <c r="M251" s="10">
        <v>0</v>
      </c>
      <c r="N251" s="10">
        <v>45215.353000000003</v>
      </c>
      <c r="O251" s="10">
        <v>1660.134</v>
      </c>
      <c r="P251" s="11">
        <f t="shared" si="35"/>
        <v>63255.291000000005</v>
      </c>
    </row>
    <row r="252" spans="2:16" s="8" customFormat="1" ht="34.9" hidden="1" customHeight="1">
      <c r="B252" s="14">
        <v>44986</v>
      </c>
      <c r="C252" s="6">
        <v>18324.878000000001</v>
      </c>
      <c r="D252" s="6">
        <v>8191.1549999999997</v>
      </c>
      <c r="E252" s="6">
        <v>11770.457</v>
      </c>
      <c r="F252" s="6">
        <v>15833.192999999999</v>
      </c>
      <c r="G252" s="7">
        <f t="shared" si="34"/>
        <v>54119.682999999997</v>
      </c>
      <c r="H252" s="6">
        <v>100.30800000000001</v>
      </c>
      <c r="I252" s="6">
        <v>120.962</v>
      </c>
      <c r="J252" s="6">
        <v>536.88800000000003</v>
      </c>
      <c r="K252" s="6">
        <v>878.29600000000005</v>
      </c>
      <c r="L252" s="6">
        <v>17479.705000000002</v>
      </c>
      <c r="M252" s="6">
        <v>0</v>
      </c>
      <c r="N252" s="6">
        <v>25908.670999999998</v>
      </c>
      <c r="O252" s="6">
        <v>572.55899999999997</v>
      </c>
      <c r="P252" s="7">
        <f t="shared" si="35"/>
        <v>45597.389000000003</v>
      </c>
    </row>
    <row r="253" spans="2:16" s="8" customFormat="1" ht="34.9" hidden="1" customHeight="1">
      <c r="B253" s="15">
        <v>45017</v>
      </c>
      <c r="C253" s="10">
        <v>15610.379000000001</v>
      </c>
      <c r="D253" s="10">
        <v>1536.0809999999999</v>
      </c>
      <c r="E253" s="10">
        <v>5572.5379999999996</v>
      </c>
      <c r="F253" s="10">
        <v>6862.19</v>
      </c>
      <c r="G253" s="11">
        <f t="shared" si="34"/>
        <v>29581.187999999998</v>
      </c>
      <c r="H253" s="10">
        <v>176.50800000000001</v>
      </c>
      <c r="I253" s="10">
        <v>131.07900000000001</v>
      </c>
      <c r="J253" s="10">
        <v>212.77500000000001</v>
      </c>
      <c r="K253" s="10">
        <v>187.999</v>
      </c>
      <c r="L253" s="10">
        <v>23589.49</v>
      </c>
      <c r="M253" s="10">
        <v>0</v>
      </c>
      <c r="N253" s="10">
        <v>18627.370999999999</v>
      </c>
      <c r="O253" s="10">
        <v>564.17499999999995</v>
      </c>
      <c r="P253" s="11">
        <f t="shared" si="35"/>
        <v>43489.397000000004</v>
      </c>
    </row>
    <row r="254" spans="2:16" s="8" customFormat="1" ht="34.9" hidden="1" customHeight="1">
      <c r="B254" s="14">
        <v>45047</v>
      </c>
      <c r="C254" s="6">
        <v>22722.399000000001</v>
      </c>
      <c r="D254" s="6">
        <v>327.89600000000002</v>
      </c>
      <c r="E254" s="6">
        <v>8739.1119999999992</v>
      </c>
      <c r="F254" s="6">
        <v>12206.071</v>
      </c>
      <c r="G254" s="7">
        <f t="shared" si="34"/>
        <v>43995.478000000003</v>
      </c>
      <c r="H254" s="6">
        <v>91.436000000000007</v>
      </c>
      <c r="I254" s="6">
        <v>427.94299999999998</v>
      </c>
      <c r="J254" s="6">
        <v>160.399</v>
      </c>
      <c r="K254" s="6">
        <v>2256.8319999999999</v>
      </c>
      <c r="L254" s="6">
        <v>9828.5310000000009</v>
      </c>
      <c r="M254" s="6">
        <v>0</v>
      </c>
      <c r="N254" s="6">
        <v>15496.884</v>
      </c>
      <c r="O254" s="6">
        <v>1315.7190000000001</v>
      </c>
      <c r="P254" s="7">
        <f t="shared" si="35"/>
        <v>29577.744000000002</v>
      </c>
    </row>
    <row r="255" spans="2:16" s="8" customFormat="1" ht="34.9" hidden="1" customHeight="1">
      <c r="B255" s="15">
        <v>45078</v>
      </c>
      <c r="C255" s="10">
        <v>14159.244000000001</v>
      </c>
      <c r="D255" s="10">
        <v>234.52099999999999</v>
      </c>
      <c r="E255" s="10">
        <v>9821.2350000000006</v>
      </c>
      <c r="F255" s="10">
        <v>17042.575000000001</v>
      </c>
      <c r="G255" s="11">
        <f t="shared" si="34"/>
        <v>41257.574999999997</v>
      </c>
      <c r="H255" s="10">
        <v>3.202</v>
      </c>
      <c r="I255" s="10">
        <v>220.40700000000001</v>
      </c>
      <c r="J255" s="10">
        <v>268.41800000000001</v>
      </c>
      <c r="K255" s="10">
        <v>2215.6080000000002</v>
      </c>
      <c r="L255" s="10">
        <v>5760.3990000000003</v>
      </c>
      <c r="M255" s="10">
        <v>0</v>
      </c>
      <c r="N255" s="10">
        <v>7030.1840000000002</v>
      </c>
      <c r="O255" s="10">
        <v>518.60799999999995</v>
      </c>
      <c r="P255" s="11">
        <f t="shared" si="35"/>
        <v>16016.826000000001</v>
      </c>
    </row>
    <row r="256" spans="2:16" s="8" customFormat="1" ht="34.9" hidden="1" customHeight="1">
      <c r="B256" s="14">
        <v>45108</v>
      </c>
      <c r="C256" s="6">
        <v>15594.386</v>
      </c>
      <c r="D256" s="6">
        <v>7016.17</v>
      </c>
      <c r="E256" s="6">
        <v>6685.6790000000001</v>
      </c>
      <c r="F256" s="6">
        <v>12698.852999999999</v>
      </c>
      <c r="G256" s="7">
        <f t="shared" si="34"/>
        <v>41995.088000000003</v>
      </c>
      <c r="H256" s="6">
        <v>0</v>
      </c>
      <c r="I256" s="6">
        <v>264.80200000000002</v>
      </c>
      <c r="J256" s="6">
        <v>183.48</v>
      </c>
      <c r="K256" s="6">
        <v>1545.6130000000001</v>
      </c>
      <c r="L256" s="6">
        <v>14570.611000000001</v>
      </c>
      <c r="M256" s="6">
        <v>0</v>
      </c>
      <c r="N256" s="6">
        <v>28121.042000000001</v>
      </c>
      <c r="O256" s="6">
        <v>220.232</v>
      </c>
      <c r="P256" s="7">
        <f t="shared" si="35"/>
        <v>44905.780000000006</v>
      </c>
    </row>
    <row r="257" spans="2:16" s="8" customFormat="1" ht="34.9" hidden="1" customHeight="1">
      <c r="B257" s="15">
        <v>45139</v>
      </c>
      <c r="C257" s="10">
        <v>33129.273999999998</v>
      </c>
      <c r="D257" s="10">
        <v>774.66099999999994</v>
      </c>
      <c r="E257" s="10">
        <v>5856.3909999999996</v>
      </c>
      <c r="F257" s="10">
        <v>9155.3729999999996</v>
      </c>
      <c r="G257" s="11">
        <f t="shared" si="34"/>
        <v>48915.699000000001</v>
      </c>
      <c r="H257" s="10">
        <v>22.298999999999999</v>
      </c>
      <c r="I257" s="10">
        <v>581.15</v>
      </c>
      <c r="J257" s="10">
        <v>283.245</v>
      </c>
      <c r="K257" s="10">
        <v>679.27700000000004</v>
      </c>
      <c r="L257" s="10">
        <v>11658.588</v>
      </c>
      <c r="M257" s="10">
        <v>0</v>
      </c>
      <c r="N257" s="10">
        <v>16050.912</v>
      </c>
      <c r="O257" s="10">
        <v>344.69600000000003</v>
      </c>
      <c r="P257" s="11">
        <f>SUM(H257:O257)</f>
        <v>29620.166999999998</v>
      </c>
    </row>
    <row r="258" spans="2:16" s="8" customFormat="1" ht="34.9" hidden="1" customHeight="1">
      <c r="B258" s="14">
        <v>45170</v>
      </c>
      <c r="C258" s="6">
        <v>11510.132</v>
      </c>
      <c r="D258" s="6">
        <v>867.64599999999996</v>
      </c>
      <c r="E258" s="6">
        <v>10297.914000000001</v>
      </c>
      <c r="F258" s="6">
        <v>14783.463</v>
      </c>
      <c r="G258" s="7">
        <f t="shared" si="34"/>
        <v>37459.154999999999</v>
      </c>
      <c r="H258" s="6">
        <v>147.84299999999999</v>
      </c>
      <c r="I258" s="6">
        <v>240.607</v>
      </c>
      <c r="J258" s="6">
        <v>282.37799999999999</v>
      </c>
      <c r="K258" s="6">
        <v>1132.3389999999999</v>
      </c>
      <c r="L258" s="6">
        <v>14746.759</v>
      </c>
      <c r="M258" s="6">
        <v>0</v>
      </c>
      <c r="N258" s="6">
        <v>8258.8680000000004</v>
      </c>
      <c r="O258" s="6">
        <v>1597.1559999999999</v>
      </c>
      <c r="P258" s="7">
        <f t="shared" si="35"/>
        <v>26405.95</v>
      </c>
    </row>
    <row r="259" spans="2:16" s="8" customFormat="1" ht="34.9" hidden="1" customHeight="1">
      <c r="B259" s="15">
        <v>45200</v>
      </c>
      <c r="C259" s="10">
        <v>12391.453</v>
      </c>
      <c r="D259" s="10">
        <v>797.61500000000001</v>
      </c>
      <c r="E259" s="10">
        <v>11765.656000000001</v>
      </c>
      <c r="F259" s="10">
        <v>16099.664000000001</v>
      </c>
      <c r="G259" s="11">
        <f t="shared" si="34"/>
        <v>41054.388000000006</v>
      </c>
      <c r="H259" s="10">
        <v>14.852</v>
      </c>
      <c r="I259" s="10">
        <v>279.25099999999998</v>
      </c>
      <c r="J259" s="10">
        <v>304.96600000000001</v>
      </c>
      <c r="K259" s="10">
        <v>1184.5820000000001</v>
      </c>
      <c r="L259" s="10">
        <v>16867.226999999999</v>
      </c>
      <c r="M259" s="10">
        <v>0</v>
      </c>
      <c r="N259" s="10">
        <v>7740.1840000000002</v>
      </c>
      <c r="O259" s="10">
        <v>612.05799999999999</v>
      </c>
      <c r="P259" s="11">
        <f t="shared" si="35"/>
        <v>27003.120000000003</v>
      </c>
    </row>
    <row r="260" spans="2:16" s="8" customFormat="1" ht="34.9" hidden="1" customHeight="1">
      <c r="B260" s="14">
        <v>45231</v>
      </c>
      <c r="C260" s="6">
        <v>11381.796</v>
      </c>
      <c r="D260" s="6">
        <v>479.44499999999999</v>
      </c>
      <c r="E260" s="6">
        <v>10942.334999999999</v>
      </c>
      <c r="F260" s="6">
        <v>13023.14</v>
      </c>
      <c r="G260" s="7">
        <f t="shared" si="34"/>
        <v>35826.716</v>
      </c>
      <c r="H260" s="6">
        <v>0</v>
      </c>
      <c r="I260" s="6">
        <v>1213.8230000000001</v>
      </c>
      <c r="J260" s="6">
        <v>107.419</v>
      </c>
      <c r="K260" s="6">
        <v>2102.7020000000002</v>
      </c>
      <c r="L260" s="6">
        <v>12622.954</v>
      </c>
      <c r="M260" s="6">
        <v>0</v>
      </c>
      <c r="N260" s="6">
        <v>5055.7489999999998</v>
      </c>
      <c r="O260" s="6">
        <v>409.548</v>
      </c>
      <c r="P260" s="7">
        <f t="shared" si="35"/>
        <v>21512.195</v>
      </c>
    </row>
    <row r="261" spans="2:16" s="8" customFormat="1" ht="34.5" hidden="1" customHeight="1">
      <c r="B261" s="60">
        <v>45261</v>
      </c>
      <c r="C261" s="61">
        <v>25399.614000000001</v>
      </c>
      <c r="D261" s="61">
        <v>522.44299999999998</v>
      </c>
      <c r="E261" s="61">
        <v>11103.706</v>
      </c>
      <c r="F261" s="61">
        <v>14117.254000000001</v>
      </c>
      <c r="G261" s="62">
        <f t="shared" si="34"/>
        <v>51143.017</v>
      </c>
      <c r="H261" s="61">
        <v>2.5920000000000001</v>
      </c>
      <c r="I261" s="61">
        <v>524.52800000000002</v>
      </c>
      <c r="J261" s="61">
        <v>163.03100000000001</v>
      </c>
      <c r="K261" s="61">
        <v>3270.9479999999999</v>
      </c>
      <c r="L261" s="61">
        <v>15501.665999999999</v>
      </c>
      <c r="M261" s="61">
        <v>0</v>
      </c>
      <c r="N261" s="61">
        <v>6286.6040000000003</v>
      </c>
      <c r="O261" s="61">
        <v>703.05100000000004</v>
      </c>
      <c r="P261" s="62">
        <f t="shared" si="35"/>
        <v>26452.42</v>
      </c>
    </row>
    <row r="262" spans="2:16" s="8" customFormat="1" ht="34.5" hidden="1" customHeight="1">
      <c r="B262" s="3">
        <v>2024</v>
      </c>
      <c r="C262" s="12"/>
      <c r="D262" s="12"/>
      <c r="E262" s="12"/>
      <c r="F262" s="12"/>
      <c r="G262" s="13"/>
      <c r="H262" s="12"/>
      <c r="I262" s="12"/>
      <c r="J262" s="12"/>
      <c r="K262" s="12"/>
      <c r="L262" s="12"/>
      <c r="M262" s="12"/>
      <c r="N262" s="12"/>
      <c r="O262" s="12"/>
      <c r="P262" s="13"/>
    </row>
    <row r="263" spans="2:16" s="8" customFormat="1" ht="34.5" hidden="1" customHeight="1">
      <c r="B263" s="14">
        <v>45292</v>
      </c>
      <c r="C263" s="6">
        <v>16209.477999999999</v>
      </c>
      <c r="D263" s="6">
        <v>1091.2090000000001</v>
      </c>
      <c r="E263" s="6">
        <v>8705.0630000000001</v>
      </c>
      <c r="F263" s="6">
        <v>16335.109</v>
      </c>
      <c r="G263" s="7">
        <f t="shared" si="34"/>
        <v>42340.858999999997</v>
      </c>
      <c r="H263" s="6">
        <v>54.984999999999999</v>
      </c>
      <c r="I263" s="6">
        <v>534.89200000000005</v>
      </c>
      <c r="J263" s="6">
        <v>639.52700000000004</v>
      </c>
      <c r="K263" s="6">
        <v>3826.2979999999998</v>
      </c>
      <c r="L263" s="6">
        <v>11788.793</v>
      </c>
      <c r="M263" s="6">
        <v>0</v>
      </c>
      <c r="N263" s="6">
        <v>30189.472000000002</v>
      </c>
      <c r="O263" s="6">
        <v>1403.5219999999999</v>
      </c>
      <c r="P263" s="7">
        <f t="shared" si="35"/>
        <v>48437.489000000001</v>
      </c>
    </row>
    <row r="264" spans="2:16" s="8" customFormat="1" ht="34.9" hidden="1" customHeight="1">
      <c r="B264" s="15">
        <v>45323</v>
      </c>
      <c r="C264" s="10">
        <v>36285.133000000002</v>
      </c>
      <c r="D264" s="10">
        <v>642.31500000000005</v>
      </c>
      <c r="E264" s="10">
        <v>8760.83</v>
      </c>
      <c r="F264" s="10">
        <v>7709.3059999999996</v>
      </c>
      <c r="G264" s="11">
        <f t="shared" ref="G264" si="36">SUM(C264:F264)</f>
        <v>53397.584000000003</v>
      </c>
      <c r="H264" s="10">
        <v>34.231999999999999</v>
      </c>
      <c r="I264" s="10">
        <v>93.683999999999997</v>
      </c>
      <c r="J264" s="10">
        <v>93.474999999999994</v>
      </c>
      <c r="K264" s="10">
        <v>1338.7159999999999</v>
      </c>
      <c r="L264" s="10">
        <v>12321.055</v>
      </c>
      <c r="M264" s="10">
        <v>0</v>
      </c>
      <c r="N264" s="10">
        <v>10399.864</v>
      </c>
      <c r="O264" s="10">
        <v>1874.489</v>
      </c>
      <c r="P264" s="11">
        <f t="shared" ref="P264" si="37">SUM(H264:O264)</f>
        <v>26155.514999999999</v>
      </c>
    </row>
    <row r="265" spans="2:16" s="8" customFormat="1" ht="34.9" hidden="1" customHeight="1">
      <c r="B265" s="14">
        <v>45352</v>
      </c>
      <c r="C265" s="6">
        <v>14713.778</v>
      </c>
      <c r="D265" s="6">
        <v>307.52699999999999</v>
      </c>
      <c r="E265" s="6">
        <v>6317.93</v>
      </c>
      <c r="F265" s="6">
        <v>7882.2529999999997</v>
      </c>
      <c r="G265" s="7">
        <f>SUM(C265:F265)</f>
        <v>29221.488000000001</v>
      </c>
      <c r="H265" s="6">
        <v>0.64600000000000002</v>
      </c>
      <c r="I265" s="6">
        <v>57.209000000000003</v>
      </c>
      <c r="J265" s="6">
        <v>144.83600000000001</v>
      </c>
      <c r="K265" s="6">
        <v>980.70600000000002</v>
      </c>
      <c r="L265" s="6">
        <v>17231.133999999998</v>
      </c>
      <c r="M265" s="6">
        <v>0</v>
      </c>
      <c r="N265" s="6">
        <v>16914.136999999999</v>
      </c>
      <c r="O265" s="6">
        <v>1213.1500000000001</v>
      </c>
      <c r="P265" s="7">
        <f>SUM(H265:O265)</f>
        <v>36541.817999999999</v>
      </c>
    </row>
    <row r="266" spans="2:16" s="8" customFormat="1" ht="34.9" hidden="1" customHeight="1">
      <c r="B266" s="15">
        <v>45383</v>
      </c>
      <c r="C266" s="10">
        <v>13391.579</v>
      </c>
      <c r="D266" s="10">
        <v>318.90300000000002</v>
      </c>
      <c r="E266" s="10">
        <v>6134.3040000000001</v>
      </c>
      <c r="F266" s="10">
        <v>5548.56</v>
      </c>
      <c r="G266" s="11">
        <f t="shared" ref="G266:G268" si="38">SUM(C266:F266)</f>
        <v>25393.346000000001</v>
      </c>
      <c r="H266" s="10">
        <v>17.088999999999999</v>
      </c>
      <c r="I266" s="10">
        <v>71.941000000000003</v>
      </c>
      <c r="J266" s="10">
        <v>272.09199999999998</v>
      </c>
      <c r="K266" s="10">
        <v>1544.1949999999999</v>
      </c>
      <c r="L266" s="10">
        <v>10056.996999999999</v>
      </c>
      <c r="M266" s="10">
        <v>0</v>
      </c>
      <c r="N266" s="10">
        <v>23664.59</v>
      </c>
      <c r="O266" s="10">
        <v>504.404</v>
      </c>
      <c r="P266" s="11">
        <f t="shared" ref="P266:P267" si="39">SUM(H266:O266)</f>
        <v>36131.307999999997</v>
      </c>
    </row>
    <row r="267" spans="2:16" s="8" customFormat="1" ht="34.9" hidden="1" customHeight="1">
      <c r="B267" s="14">
        <v>45413</v>
      </c>
      <c r="C267" s="6">
        <v>110672.057</v>
      </c>
      <c r="D267" s="6">
        <v>324.67200000000003</v>
      </c>
      <c r="E267" s="6">
        <v>7809.5630000000001</v>
      </c>
      <c r="F267" s="6">
        <v>7630.5529999999999</v>
      </c>
      <c r="G267" s="7">
        <f t="shared" si="38"/>
        <v>126436.845</v>
      </c>
      <c r="H267" s="6">
        <v>39.597000000000001</v>
      </c>
      <c r="I267" s="6">
        <v>78.805999999999997</v>
      </c>
      <c r="J267" s="6">
        <v>64.656999999999996</v>
      </c>
      <c r="K267" s="6">
        <v>3690.5810000000001</v>
      </c>
      <c r="L267" s="6">
        <v>12697.43</v>
      </c>
      <c r="M267" s="6">
        <v>0</v>
      </c>
      <c r="N267" s="6">
        <v>11717.906000000001</v>
      </c>
      <c r="O267" s="6">
        <v>2069.6799999999998</v>
      </c>
      <c r="P267" s="7">
        <f t="shared" si="39"/>
        <v>30358.656999999999</v>
      </c>
    </row>
    <row r="268" spans="2:16" s="8" customFormat="1" ht="34.9" hidden="1" customHeight="1">
      <c r="B268" s="15">
        <v>45445</v>
      </c>
      <c r="C268" s="10">
        <v>11518.324000000001</v>
      </c>
      <c r="D268" s="10">
        <v>512.73800000000006</v>
      </c>
      <c r="E268" s="10">
        <v>5044.7219999999998</v>
      </c>
      <c r="F268" s="10">
        <v>6376.9679999999998</v>
      </c>
      <c r="G268" s="11">
        <f t="shared" si="38"/>
        <v>23452.752</v>
      </c>
      <c r="H268" s="10">
        <v>9.1189999999999998</v>
      </c>
      <c r="I268" s="10">
        <v>121.126</v>
      </c>
      <c r="J268" s="10">
        <v>154.81899999999999</v>
      </c>
      <c r="K268" s="10">
        <v>2582.5509999999999</v>
      </c>
      <c r="L268" s="10">
        <v>10780.5</v>
      </c>
      <c r="M268" s="10">
        <v>0</v>
      </c>
      <c r="N268" s="10">
        <v>12926.62</v>
      </c>
      <c r="O268" s="10">
        <v>1558.2429999999999</v>
      </c>
      <c r="P268" s="11">
        <f t="shared" ref="P268:P274" si="40">SUM(H268:O268)</f>
        <v>28132.977999999999</v>
      </c>
    </row>
    <row r="269" spans="2:16" s="8" customFormat="1" ht="34.9" hidden="1" customHeight="1">
      <c r="B269" s="14">
        <v>45474</v>
      </c>
      <c r="C269" s="6">
        <v>17825.313999999998</v>
      </c>
      <c r="D269" s="6">
        <v>320.666</v>
      </c>
      <c r="E269" s="6">
        <v>8649.1319999999996</v>
      </c>
      <c r="F269" s="6">
        <v>8140.4009999999998</v>
      </c>
      <c r="G269" s="7">
        <f t="shared" ref="G269:G274" si="41">SUM(C269:F269)</f>
        <v>34935.512999999999</v>
      </c>
      <c r="H269" s="6">
        <v>87.747</v>
      </c>
      <c r="I269" s="6">
        <v>93.646000000000001</v>
      </c>
      <c r="J269" s="6">
        <v>2813.7919999999999</v>
      </c>
      <c r="K269" s="6">
        <v>3451.393</v>
      </c>
      <c r="L269" s="6">
        <v>12611.198</v>
      </c>
      <c r="M269" s="6">
        <v>0</v>
      </c>
      <c r="N269" s="6">
        <v>16940.11</v>
      </c>
      <c r="O269" s="6">
        <v>7982.3860000000004</v>
      </c>
      <c r="P269" s="7">
        <f t="shared" si="40"/>
        <v>43980.271999999997</v>
      </c>
    </row>
    <row r="270" spans="2:16" s="8" customFormat="1" ht="34.9" hidden="1" customHeight="1">
      <c r="B270" s="15">
        <v>45506</v>
      </c>
      <c r="C270" s="10">
        <v>19049.87</v>
      </c>
      <c r="D270" s="10">
        <v>742.11400000000003</v>
      </c>
      <c r="E270" s="10">
        <v>7265.9269999999997</v>
      </c>
      <c r="F270" s="10">
        <v>9658.8359999999993</v>
      </c>
      <c r="G270" s="11">
        <f t="shared" si="41"/>
        <v>36716.747000000003</v>
      </c>
      <c r="H270" s="10">
        <v>37.341999999999999</v>
      </c>
      <c r="I270" s="10">
        <v>5156.8440000000001</v>
      </c>
      <c r="J270" s="10">
        <v>28.997</v>
      </c>
      <c r="K270" s="10">
        <v>2908.1320000000001</v>
      </c>
      <c r="L270" s="10">
        <v>13768.433999999999</v>
      </c>
      <c r="M270" s="10">
        <v>0</v>
      </c>
      <c r="N270" s="10">
        <v>8842.5249999999996</v>
      </c>
      <c r="O270" s="10">
        <v>5625.8160000000007</v>
      </c>
      <c r="P270" s="11">
        <f t="shared" si="40"/>
        <v>36368.089999999997</v>
      </c>
    </row>
    <row r="271" spans="2:16" s="8" customFormat="1" ht="34.9" hidden="1" customHeight="1">
      <c r="B271" s="14">
        <v>45538</v>
      </c>
      <c r="C271" s="6">
        <v>15610.588</v>
      </c>
      <c r="D271" s="6">
        <v>342.93599999999998</v>
      </c>
      <c r="E271" s="6">
        <v>10573.046</v>
      </c>
      <c r="F271" s="6">
        <v>6635.4489999999996</v>
      </c>
      <c r="G271" s="7">
        <f t="shared" si="41"/>
        <v>33162.019</v>
      </c>
      <c r="H271" s="6">
        <v>25.808</v>
      </c>
      <c r="I271" s="6">
        <v>232.03299999999999</v>
      </c>
      <c r="J271" s="6">
        <v>60.372999999999998</v>
      </c>
      <c r="K271" s="6">
        <v>2901.2660000000001</v>
      </c>
      <c r="L271" s="6">
        <v>9461.2510000000002</v>
      </c>
      <c r="M271" s="6">
        <v>0</v>
      </c>
      <c r="N271" s="6">
        <v>20151.781999999999</v>
      </c>
      <c r="O271" s="6">
        <v>2534.7950000000001</v>
      </c>
      <c r="P271" s="7">
        <f t="shared" si="40"/>
        <v>35367.307999999997</v>
      </c>
    </row>
    <row r="272" spans="2:16" s="8" customFormat="1" ht="34.9" hidden="1" customHeight="1">
      <c r="B272" s="15">
        <v>45570</v>
      </c>
      <c r="C272" s="10">
        <v>24013.427</v>
      </c>
      <c r="D272" s="10">
        <v>425.07299999999998</v>
      </c>
      <c r="E272" s="10">
        <v>9667.4989999999998</v>
      </c>
      <c r="F272" s="10">
        <v>7434.9229999999998</v>
      </c>
      <c r="G272" s="11">
        <f t="shared" si="41"/>
        <v>41540.921999999999</v>
      </c>
      <c r="H272" s="10">
        <v>13.291</v>
      </c>
      <c r="I272" s="10">
        <v>299.68900000000002</v>
      </c>
      <c r="J272" s="10">
        <v>58.935000000000002</v>
      </c>
      <c r="K272" s="10">
        <v>3493.6750000000002</v>
      </c>
      <c r="L272" s="10">
        <v>6101.4009999999998</v>
      </c>
      <c r="M272" s="10">
        <v>0</v>
      </c>
      <c r="N272" s="10">
        <v>23831.418000000001</v>
      </c>
      <c r="O272" s="10">
        <v>2271.0990000000002</v>
      </c>
      <c r="P272" s="11">
        <f t="shared" si="40"/>
        <v>36069.508000000002</v>
      </c>
    </row>
    <row r="273" spans="2:16" s="8" customFormat="1" ht="34.9" hidden="1" customHeight="1">
      <c r="B273" s="14">
        <v>45597</v>
      </c>
      <c r="C273" s="6">
        <v>25012.528999999999</v>
      </c>
      <c r="D273" s="6">
        <v>357.86399999999998</v>
      </c>
      <c r="E273" s="6">
        <v>9373.2639999999992</v>
      </c>
      <c r="F273" s="6">
        <v>14214.132</v>
      </c>
      <c r="G273" s="7">
        <f t="shared" si="41"/>
        <v>48957.788999999997</v>
      </c>
      <c r="H273" s="6">
        <v>2.1160000000000001</v>
      </c>
      <c r="I273" s="6">
        <v>278.81</v>
      </c>
      <c r="J273" s="6">
        <v>77.287999999999997</v>
      </c>
      <c r="K273" s="6">
        <v>2393.6889999999999</v>
      </c>
      <c r="L273" s="6">
        <v>1679.058</v>
      </c>
      <c r="M273" s="6">
        <v>0</v>
      </c>
      <c r="N273" s="6">
        <v>21363.993999999999</v>
      </c>
      <c r="O273" s="6">
        <v>1586.886</v>
      </c>
      <c r="P273" s="7">
        <f t="shared" si="40"/>
        <v>27381.840999999997</v>
      </c>
    </row>
    <row r="274" spans="2:16" s="8" customFormat="1" ht="34.9" hidden="1" customHeight="1">
      <c r="B274" s="60">
        <v>45654</v>
      </c>
      <c r="C274" s="61">
        <v>29780.175999999999</v>
      </c>
      <c r="D274" s="61">
        <v>1141.22</v>
      </c>
      <c r="E274" s="61">
        <v>9216.5630000000001</v>
      </c>
      <c r="F274" s="61">
        <v>34852.832999999999</v>
      </c>
      <c r="G274" s="62">
        <f t="shared" si="41"/>
        <v>74990.792000000001</v>
      </c>
      <c r="H274" s="61">
        <v>120.547</v>
      </c>
      <c r="I274" s="61">
        <v>392.11</v>
      </c>
      <c r="J274" s="61">
        <v>313.38</v>
      </c>
      <c r="K274" s="61">
        <v>1414.059</v>
      </c>
      <c r="L274" s="61">
        <v>6775.1959999999999</v>
      </c>
      <c r="M274" s="61">
        <v>0</v>
      </c>
      <c r="N274" s="61">
        <v>25344.953000000001</v>
      </c>
      <c r="O274" s="61">
        <v>1559.7049999999999</v>
      </c>
      <c r="P274" s="62">
        <f t="shared" si="40"/>
        <v>35919.950000000004</v>
      </c>
    </row>
    <row r="275" spans="2:16" s="8" customFormat="1" ht="34.5" customHeight="1">
      <c r="B275" s="3">
        <v>2025</v>
      </c>
      <c r="C275" s="12"/>
      <c r="D275" s="12"/>
      <c r="E275" s="12"/>
      <c r="F275" s="12"/>
      <c r="G275" s="13"/>
      <c r="H275" s="12"/>
      <c r="I275" s="12"/>
      <c r="J275" s="12"/>
      <c r="K275" s="12"/>
      <c r="L275" s="12"/>
      <c r="M275" s="12"/>
      <c r="N275" s="12"/>
      <c r="O275" s="12"/>
      <c r="P275" s="13"/>
    </row>
    <row r="276" spans="2:16" s="8" customFormat="1" ht="34.9" hidden="1" customHeight="1">
      <c r="B276" s="14">
        <v>45658</v>
      </c>
      <c r="C276" s="6">
        <v>47760.872000000003</v>
      </c>
      <c r="D276" s="6">
        <v>4503.3239999999996</v>
      </c>
      <c r="E276" s="6">
        <v>7216.9660000000003</v>
      </c>
      <c r="F276" s="6">
        <v>4599.1149999999998</v>
      </c>
      <c r="G276" s="7">
        <f t="shared" ref="G276:G289" si="42">SUM(C276:F276)</f>
        <v>64080.277000000002</v>
      </c>
      <c r="H276" s="6">
        <v>3.1720000000000002</v>
      </c>
      <c r="I276" s="6">
        <v>478.03100000000001</v>
      </c>
      <c r="J276" s="6">
        <v>138.60300000000001</v>
      </c>
      <c r="K276" s="6">
        <v>1072.9929999999999</v>
      </c>
      <c r="L276" s="6">
        <v>3391.0030000000002</v>
      </c>
      <c r="M276" s="6">
        <v>0</v>
      </c>
      <c r="N276" s="6">
        <v>40973.292999999998</v>
      </c>
      <c r="O276" s="6">
        <v>528.12599999999998</v>
      </c>
      <c r="P276" s="7">
        <f t="shared" ref="P276:P279" si="43">SUM(H276:O276)</f>
        <v>46585.220999999998</v>
      </c>
    </row>
    <row r="277" spans="2:16" s="8" customFormat="1" ht="34.9" hidden="1" customHeight="1">
      <c r="B277" s="15">
        <v>45689</v>
      </c>
      <c r="C277" s="10">
        <v>35999.75</v>
      </c>
      <c r="D277" s="10">
        <v>870.50099999999998</v>
      </c>
      <c r="E277" s="10">
        <v>4401.9470000000001</v>
      </c>
      <c r="F277" s="10">
        <v>6396.1440000000002</v>
      </c>
      <c r="G277" s="11">
        <f>SUM(C277:F277)</f>
        <v>47668.341999999997</v>
      </c>
      <c r="H277" s="10">
        <v>239.762</v>
      </c>
      <c r="I277" s="10">
        <v>522.55700000000002</v>
      </c>
      <c r="J277" s="10">
        <v>208.50700000000001</v>
      </c>
      <c r="K277" s="10">
        <v>1591.4280000000001</v>
      </c>
      <c r="L277" s="10">
        <v>6634.2520000000004</v>
      </c>
      <c r="M277" s="10">
        <v>0</v>
      </c>
      <c r="N277" s="10">
        <v>36921.254999999997</v>
      </c>
      <c r="O277" s="10">
        <v>1195.991</v>
      </c>
      <c r="P277" s="11">
        <f>SUM(H277:O277)</f>
        <v>47313.752</v>
      </c>
    </row>
    <row r="278" spans="2:16" s="8" customFormat="1" ht="34.9" hidden="1" customHeight="1">
      <c r="B278" s="14">
        <v>45717</v>
      </c>
      <c r="C278" s="6">
        <v>27676.172999999999</v>
      </c>
      <c r="D278" s="6">
        <v>171.364</v>
      </c>
      <c r="E278" s="6">
        <v>1678.932</v>
      </c>
      <c r="F278" s="6">
        <v>9774.5879999999997</v>
      </c>
      <c r="G278" s="7">
        <f t="shared" si="42"/>
        <v>39301.057000000001</v>
      </c>
      <c r="H278" s="6">
        <v>259.483</v>
      </c>
      <c r="I278" s="6">
        <v>266.37799999999999</v>
      </c>
      <c r="J278" s="6">
        <v>561.32100000000003</v>
      </c>
      <c r="K278" s="6">
        <v>615.67100000000005</v>
      </c>
      <c r="L278" s="6">
        <v>12181.166999999999</v>
      </c>
      <c r="M278" s="6">
        <v>0</v>
      </c>
      <c r="N278" s="6">
        <v>32071.196</v>
      </c>
      <c r="O278" s="6">
        <v>1204.3789999999999</v>
      </c>
      <c r="P278" s="7">
        <f t="shared" si="43"/>
        <v>47159.595000000001</v>
      </c>
    </row>
    <row r="279" spans="2:16" s="8" customFormat="1" ht="34.9" hidden="1" customHeight="1">
      <c r="B279" s="15">
        <v>45748</v>
      </c>
      <c r="C279" s="10">
        <v>37224.192000000003</v>
      </c>
      <c r="D279" s="10">
        <v>386.15600000000001</v>
      </c>
      <c r="E279" s="10">
        <v>1729.05</v>
      </c>
      <c r="F279" s="10">
        <v>7538.08</v>
      </c>
      <c r="G279" s="11">
        <f t="shared" si="42"/>
        <v>46877.47800000001</v>
      </c>
      <c r="H279" s="10">
        <v>27.274999999999999</v>
      </c>
      <c r="I279" s="10">
        <v>531.54100000000005</v>
      </c>
      <c r="J279" s="10">
        <v>103.01</v>
      </c>
      <c r="K279" s="10">
        <v>1008.977</v>
      </c>
      <c r="L279" s="10">
        <v>12085.472</v>
      </c>
      <c r="M279" s="10">
        <v>0</v>
      </c>
      <c r="N279" s="10">
        <v>43390.038999999997</v>
      </c>
      <c r="O279" s="10">
        <v>577.34900000000005</v>
      </c>
      <c r="P279" s="11">
        <f t="shared" si="43"/>
        <v>57723.663</v>
      </c>
    </row>
    <row r="280" spans="2:16" s="8" customFormat="1" ht="34.9" hidden="1" customHeight="1">
      <c r="B280" s="14">
        <v>45778</v>
      </c>
      <c r="C280" s="6">
        <v>67726.237999999998</v>
      </c>
      <c r="D280" s="6">
        <v>2123.8530000000001</v>
      </c>
      <c r="E280" s="6">
        <v>3359.3049999999998</v>
      </c>
      <c r="F280" s="6">
        <v>8965.1370000000006</v>
      </c>
      <c r="G280" s="7">
        <f t="shared" si="42"/>
        <v>82174.532999999996</v>
      </c>
      <c r="H280" s="6">
        <v>158.83799999999999</v>
      </c>
      <c r="I280" s="6">
        <v>279.96600000000001</v>
      </c>
      <c r="J280" s="6">
        <v>162.31</v>
      </c>
      <c r="K280" s="6">
        <v>1634.8979999999999</v>
      </c>
      <c r="L280" s="6">
        <v>18762.764999999999</v>
      </c>
      <c r="M280" s="6">
        <v>0</v>
      </c>
      <c r="N280" s="6">
        <v>38274.129999999997</v>
      </c>
      <c r="O280" s="6">
        <v>451.72800000000001</v>
      </c>
      <c r="P280" s="7">
        <f t="shared" ref="P280:P289" si="44">SUM(H280:O280)</f>
        <v>59724.634999999995</v>
      </c>
    </row>
    <row r="281" spans="2:16" s="8" customFormat="1" ht="34.9" hidden="1" customHeight="1">
      <c r="B281" s="15">
        <v>45810</v>
      </c>
      <c r="C281" s="10">
        <v>62573.786</v>
      </c>
      <c r="D281" s="10">
        <v>238.28399999999999</v>
      </c>
      <c r="E281" s="10">
        <v>2544.549</v>
      </c>
      <c r="F281" s="10">
        <v>5904.5230000000001</v>
      </c>
      <c r="G281" s="11">
        <f t="shared" si="42"/>
        <v>71261.141999999993</v>
      </c>
      <c r="H281" s="10">
        <v>3.5049999999999999</v>
      </c>
      <c r="I281" s="10">
        <v>388.84899999999999</v>
      </c>
      <c r="J281" s="10">
        <v>562.34500000000003</v>
      </c>
      <c r="K281" s="10">
        <v>1533.279</v>
      </c>
      <c r="L281" s="10">
        <v>29419.274000000001</v>
      </c>
      <c r="M281" s="10">
        <v>0</v>
      </c>
      <c r="N281" s="10">
        <v>21507.136999999999</v>
      </c>
      <c r="O281" s="10">
        <v>225.18899999999999</v>
      </c>
      <c r="P281" s="11">
        <f t="shared" si="44"/>
        <v>53639.577999999994</v>
      </c>
    </row>
    <row r="282" spans="2:16" s="8" customFormat="1" ht="34.9" hidden="1" customHeight="1">
      <c r="B282" s="14">
        <v>45863</v>
      </c>
      <c r="C282" s="6">
        <v>53329.949000000001</v>
      </c>
      <c r="D282" s="6">
        <v>5680.1540000000005</v>
      </c>
      <c r="E282" s="6">
        <v>5303.7809999999999</v>
      </c>
      <c r="F282" s="6">
        <v>32617.392</v>
      </c>
      <c r="G282" s="7">
        <f t="shared" si="42"/>
        <v>96931.276000000013</v>
      </c>
      <c r="H282" s="6">
        <v>87.328999999999994</v>
      </c>
      <c r="I282" s="6">
        <v>830.45100000000002</v>
      </c>
      <c r="J282" s="6">
        <v>452.03399999999999</v>
      </c>
      <c r="K282" s="6">
        <v>1630.375</v>
      </c>
      <c r="L282" s="6">
        <v>35158.021999999997</v>
      </c>
      <c r="M282" s="6">
        <v>0</v>
      </c>
      <c r="N282" s="6">
        <v>25517.559000000001</v>
      </c>
      <c r="O282" s="6">
        <v>1122.2529999999999</v>
      </c>
      <c r="P282" s="7">
        <f t="shared" si="44"/>
        <v>64798.022999999994</v>
      </c>
    </row>
    <row r="283" spans="2:16" s="8" customFormat="1" ht="34.9" customHeight="1">
      <c r="B283" s="15">
        <v>45894</v>
      </c>
      <c r="C283" s="10">
        <v>38553.118999999999</v>
      </c>
      <c r="D283" s="10">
        <v>436.92500000000001</v>
      </c>
      <c r="E283" s="10">
        <v>5143.6080000000002</v>
      </c>
      <c r="F283" s="10">
        <v>32402.023000000001</v>
      </c>
      <c r="G283" s="11">
        <f t="shared" si="42"/>
        <v>76535.675000000003</v>
      </c>
      <c r="H283" s="10">
        <v>12.555999999999999</v>
      </c>
      <c r="I283" s="10">
        <v>301.99200000000002</v>
      </c>
      <c r="J283" s="10">
        <v>170.85</v>
      </c>
      <c r="K283" s="10">
        <v>2640.5189999999998</v>
      </c>
      <c r="L283" s="10">
        <v>10605.136</v>
      </c>
      <c r="M283" s="10">
        <v>0</v>
      </c>
      <c r="N283" s="10">
        <v>39494.101999999999</v>
      </c>
      <c r="O283" s="10">
        <v>1401.713</v>
      </c>
      <c r="P283" s="11">
        <f t="shared" si="44"/>
        <v>54626.868000000002</v>
      </c>
    </row>
    <row r="284" spans="2:16" s="8" customFormat="1" ht="34.9" customHeight="1">
      <c r="B284" s="14">
        <v>45925</v>
      </c>
      <c r="C284" s="6">
        <v>46714.544000000002</v>
      </c>
      <c r="D284" s="6">
        <v>258.73</v>
      </c>
      <c r="E284" s="6">
        <v>4185.8680000000004</v>
      </c>
      <c r="F284" s="6">
        <v>22523.571</v>
      </c>
      <c r="G284" s="7">
        <f t="shared" si="42"/>
        <v>73682.713000000003</v>
      </c>
      <c r="H284" s="6">
        <v>305.43200000000002</v>
      </c>
      <c r="I284" s="6">
        <v>263.04199999999997</v>
      </c>
      <c r="J284" s="6">
        <v>609.71400000000006</v>
      </c>
      <c r="K284" s="6">
        <v>2345.2539999999999</v>
      </c>
      <c r="L284" s="6">
        <v>9980.518</v>
      </c>
      <c r="M284" s="6">
        <v>0</v>
      </c>
      <c r="N284" s="6">
        <v>53959.402000000002</v>
      </c>
      <c r="O284" s="6">
        <v>647.62099999999998</v>
      </c>
      <c r="P284" s="7">
        <f t="shared" si="44"/>
        <v>68110.982999999993</v>
      </c>
    </row>
    <row r="285" spans="2:16" s="8" customFormat="1" ht="34.9" customHeight="1">
      <c r="B285" s="15">
        <v>45955</v>
      </c>
      <c r="C285" s="10">
        <v>100649.094</v>
      </c>
      <c r="D285" s="10">
        <v>3781.5120000000002</v>
      </c>
      <c r="E285" s="10">
        <v>6058.8419999999996</v>
      </c>
      <c r="F285" s="10">
        <v>19252.757000000001</v>
      </c>
      <c r="G285" s="11">
        <f t="shared" si="42"/>
        <v>129742.205</v>
      </c>
      <c r="H285" s="10">
        <v>180.512</v>
      </c>
      <c r="I285" s="10">
        <v>262.00599999999997</v>
      </c>
      <c r="J285" s="10">
        <v>4937.3220000000001</v>
      </c>
      <c r="K285" s="10">
        <v>2026.077</v>
      </c>
      <c r="L285" s="10">
        <v>7881.3829999999998</v>
      </c>
      <c r="M285" s="10">
        <v>0</v>
      </c>
      <c r="N285" s="10">
        <v>57350.44</v>
      </c>
      <c r="O285" s="10">
        <v>624.64599999999996</v>
      </c>
      <c r="P285" s="11">
        <f t="shared" si="44"/>
        <v>73262.385999999999</v>
      </c>
    </row>
    <row r="286" spans="2:16" s="8" customFormat="1" ht="34.9" customHeight="1">
      <c r="B286" s="14">
        <v>45986</v>
      </c>
      <c r="C286" s="6">
        <v>86470.876000000004</v>
      </c>
      <c r="D286" s="6">
        <v>552.96699999999998</v>
      </c>
      <c r="E286" s="6">
        <v>5319.4809999999998</v>
      </c>
      <c r="F286" s="6">
        <v>15877.978999999999</v>
      </c>
      <c r="G286" s="7">
        <f t="shared" si="42"/>
        <v>108221.30300000001</v>
      </c>
      <c r="H286" s="6">
        <v>430.78800000000001</v>
      </c>
      <c r="I286" s="6">
        <v>339.38900000000001</v>
      </c>
      <c r="J286" s="6">
        <v>369.23</v>
      </c>
      <c r="K286" s="6">
        <v>1605.912</v>
      </c>
      <c r="L286" s="6">
        <v>9366.2620000000006</v>
      </c>
      <c r="M286" s="6">
        <v>0</v>
      </c>
      <c r="N286" s="6">
        <v>36137.669000000002</v>
      </c>
      <c r="O286" s="6">
        <v>620.85199999999998</v>
      </c>
      <c r="P286" s="7">
        <f t="shared" si="44"/>
        <v>48870.101999999999</v>
      </c>
    </row>
    <row r="287" spans="2:16" s="8" customFormat="1" ht="34.9" customHeight="1">
      <c r="B287" s="60">
        <v>46016</v>
      </c>
      <c r="C287" s="61">
        <v>75020.951000000001</v>
      </c>
      <c r="D287" s="61">
        <v>1750.347</v>
      </c>
      <c r="E287" s="61">
        <v>3637.154</v>
      </c>
      <c r="F287" s="61">
        <v>20386.703000000001</v>
      </c>
      <c r="G287" s="62">
        <f t="shared" si="42"/>
        <v>100795.155</v>
      </c>
      <c r="H287" s="61">
        <v>109.051</v>
      </c>
      <c r="I287" s="61">
        <v>437.96100000000001</v>
      </c>
      <c r="J287" s="61">
        <v>654.21900000000005</v>
      </c>
      <c r="K287" s="61">
        <v>1905.3330000000001</v>
      </c>
      <c r="L287" s="61">
        <v>23524.811000000002</v>
      </c>
      <c r="M287" s="61">
        <v>0</v>
      </c>
      <c r="N287" s="61">
        <v>19963.347000000002</v>
      </c>
      <c r="O287" s="61">
        <v>730.49800000000005</v>
      </c>
      <c r="P287" s="62">
        <f t="shared" si="44"/>
        <v>47325.22</v>
      </c>
    </row>
    <row r="288" spans="2:16" s="8" customFormat="1" ht="34.5" customHeight="1">
      <c r="B288" s="3">
        <v>2026</v>
      </c>
      <c r="C288" s="12"/>
      <c r="D288" s="12"/>
      <c r="E288" s="12"/>
      <c r="F288" s="12"/>
      <c r="G288" s="13"/>
      <c r="H288" s="12"/>
      <c r="I288" s="12"/>
      <c r="J288" s="12"/>
      <c r="K288" s="12"/>
      <c r="L288" s="12"/>
      <c r="M288" s="12"/>
      <c r="N288" s="12"/>
      <c r="O288" s="12"/>
      <c r="P288" s="13"/>
    </row>
    <row r="289" spans="2:16" s="8" customFormat="1" ht="34.9" customHeight="1">
      <c r="B289" s="14">
        <v>46023</v>
      </c>
      <c r="C289" s="6">
        <v>71550.553</v>
      </c>
      <c r="D289" s="6">
        <v>486.04199999999997</v>
      </c>
      <c r="E289" s="6">
        <v>4278.5730000000003</v>
      </c>
      <c r="F289" s="6">
        <v>19139.530999999999</v>
      </c>
      <c r="G289" s="7">
        <f t="shared" si="42"/>
        <v>95454.699000000008</v>
      </c>
      <c r="H289" s="6">
        <v>55.006999999999998</v>
      </c>
      <c r="I289" s="6">
        <v>203.54300000000001</v>
      </c>
      <c r="J289" s="6">
        <v>538.1</v>
      </c>
      <c r="K289" s="6">
        <v>1398.508</v>
      </c>
      <c r="L289" s="6">
        <v>22571.732</v>
      </c>
      <c r="M289" s="6">
        <v>0</v>
      </c>
      <c r="N289" s="6">
        <v>17819.665000000001</v>
      </c>
      <c r="O289" s="6">
        <v>763.54</v>
      </c>
      <c r="P289" s="7">
        <f t="shared" si="44"/>
        <v>43350.095000000001</v>
      </c>
    </row>
    <row r="290" spans="2:16" s="8" customFormat="1" ht="34.9" customHeight="1">
      <c r="B290" s="15">
        <v>46054</v>
      </c>
      <c r="C290" s="10">
        <v>60051.368999999999</v>
      </c>
      <c r="D290" s="10">
        <v>976.95699999999999</v>
      </c>
      <c r="E290" s="10">
        <v>3794.98</v>
      </c>
      <c r="F290" s="10">
        <v>20633.071</v>
      </c>
      <c r="G290" s="11">
        <f>SUM(C290:F290)</f>
        <v>85456.377000000008</v>
      </c>
      <c r="H290" s="10">
        <v>52.749000000000002</v>
      </c>
      <c r="I290" s="10">
        <v>350.23399999999998</v>
      </c>
      <c r="J290" s="10">
        <v>411.154</v>
      </c>
      <c r="K290" s="10">
        <v>869.09900000000005</v>
      </c>
      <c r="L290" s="10">
        <v>30519.278999999999</v>
      </c>
      <c r="M290" s="10">
        <v>0</v>
      </c>
      <c r="N290" s="10">
        <v>47303.726999999999</v>
      </c>
      <c r="O290" s="10">
        <v>746.97299999999996</v>
      </c>
      <c r="P290" s="11">
        <f>SUM(H290:O290)</f>
        <v>80253.214999999997</v>
      </c>
    </row>
    <row r="291" spans="2:16" s="8" customFormat="1" ht="34.9" customHeight="1">
      <c r="B291" s="14">
        <v>46082</v>
      </c>
      <c r="C291" s="6">
        <v>66354.315000000002</v>
      </c>
      <c r="D291" s="6">
        <v>890.80399999999997</v>
      </c>
      <c r="E291" s="6">
        <v>2008.046</v>
      </c>
      <c r="F291" s="6">
        <v>10219.703</v>
      </c>
      <c r="G291" s="7">
        <f t="shared" ref="G291:G296" si="45">SUM(C291:F291)</f>
        <v>79472.868000000002</v>
      </c>
      <c r="H291" s="6">
        <v>5.9509999999999996</v>
      </c>
      <c r="I291" s="6">
        <v>384.28</v>
      </c>
      <c r="J291" s="6">
        <v>257.60199999999998</v>
      </c>
      <c r="K291" s="6">
        <v>528.90200000000004</v>
      </c>
      <c r="L291" s="6">
        <v>32400</v>
      </c>
      <c r="M291" s="6">
        <v>0</v>
      </c>
      <c r="N291" s="6">
        <v>38381.944000000003</v>
      </c>
      <c r="O291" s="6">
        <v>619.89300000000003</v>
      </c>
      <c r="P291" s="7">
        <f t="shared" ref="P291:P296" si="46">SUM(H291:O291)</f>
        <v>72578.572</v>
      </c>
    </row>
    <row r="292" spans="2:16" s="8" customFormat="1" ht="34.9" customHeight="1">
      <c r="B292" s="15">
        <v>46113</v>
      </c>
      <c r="C292" s="10">
        <v>78190.59</v>
      </c>
      <c r="D292" s="10">
        <v>1350.414</v>
      </c>
      <c r="E292" s="10">
        <v>4168.8869999999997</v>
      </c>
      <c r="F292" s="10">
        <v>11613.864</v>
      </c>
      <c r="G292" s="11">
        <f t="shared" si="45"/>
        <v>95323.755000000005</v>
      </c>
      <c r="H292" s="10">
        <v>221.87899999999999</v>
      </c>
      <c r="I292" s="10">
        <v>1957.27</v>
      </c>
      <c r="J292" s="10">
        <v>49.787999999999997</v>
      </c>
      <c r="K292" s="10">
        <v>1174.904</v>
      </c>
      <c r="L292" s="10">
        <v>16784.691999999999</v>
      </c>
      <c r="M292" s="10">
        <v>0</v>
      </c>
      <c r="N292" s="10">
        <v>99729.83</v>
      </c>
      <c r="O292" s="10">
        <v>753.87599999999998</v>
      </c>
      <c r="P292" s="11">
        <f t="shared" si="46"/>
        <v>120672.239</v>
      </c>
    </row>
    <row r="293" spans="2:16" s="8" customFormat="1" ht="34.9" customHeight="1">
      <c r="B293" s="14">
        <v>46143</v>
      </c>
      <c r="C293" s="6">
        <v>93971.126000000004</v>
      </c>
      <c r="D293" s="6">
        <v>830.62</v>
      </c>
      <c r="E293" s="6">
        <v>5130.38</v>
      </c>
      <c r="F293" s="6">
        <v>19614.605</v>
      </c>
      <c r="G293" s="7">
        <f t="shared" si="45"/>
        <v>119546.731</v>
      </c>
      <c r="H293" s="6">
        <v>13.93</v>
      </c>
      <c r="I293" s="6">
        <v>466.67599999999999</v>
      </c>
      <c r="J293" s="6">
        <v>296.81400000000002</v>
      </c>
      <c r="K293" s="6">
        <v>1106.2819999999999</v>
      </c>
      <c r="L293" s="6">
        <v>4560.143</v>
      </c>
      <c r="M293" s="6">
        <v>0</v>
      </c>
      <c r="N293" s="6">
        <v>56437.178</v>
      </c>
      <c r="O293" s="6">
        <v>2705.4050000000002</v>
      </c>
      <c r="P293" s="7">
        <f t="shared" si="46"/>
        <v>65586.428</v>
      </c>
    </row>
    <row r="294" spans="2:16" s="8" customFormat="1" ht="34.9" customHeight="1">
      <c r="B294" s="15">
        <v>46175</v>
      </c>
      <c r="C294" s="10">
        <v>96436.994999999995</v>
      </c>
      <c r="D294" s="10">
        <v>932.43799999999999</v>
      </c>
      <c r="E294" s="10">
        <v>3628.3270000000002</v>
      </c>
      <c r="F294" s="10">
        <v>17896.044000000002</v>
      </c>
      <c r="G294" s="11">
        <f t="shared" si="45"/>
        <v>118893.804</v>
      </c>
      <c r="H294" s="10">
        <v>3.15</v>
      </c>
      <c r="I294" s="10">
        <v>600.58100000000002</v>
      </c>
      <c r="J294" s="10">
        <v>411.339</v>
      </c>
      <c r="K294" s="10">
        <v>1375.9739999999999</v>
      </c>
      <c r="L294" s="10">
        <v>6857.8680000000004</v>
      </c>
      <c r="M294" s="10">
        <v>0</v>
      </c>
      <c r="N294" s="10">
        <v>52385.995999999999</v>
      </c>
      <c r="O294" s="10">
        <v>2467.9290000000001</v>
      </c>
      <c r="P294" s="11">
        <f t="shared" si="46"/>
        <v>64102.837</v>
      </c>
    </row>
    <row r="295" spans="2:16" s="8" customFormat="1" ht="34.9" customHeight="1">
      <c r="B295" s="14">
        <v>46229</v>
      </c>
      <c r="C295" s="6">
        <v>81070.804000000004</v>
      </c>
      <c r="D295" s="6">
        <v>915.56299999999999</v>
      </c>
      <c r="E295" s="6">
        <v>6405.7359999999999</v>
      </c>
      <c r="F295" s="6">
        <v>41769.684000000001</v>
      </c>
      <c r="G295" s="7">
        <f t="shared" si="45"/>
        <v>130161.78700000001</v>
      </c>
      <c r="H295" s="6">
        <v>1.46</v>
      </c>
      <c r="I295" s="6">
        <v>890.07299999999998</v>
      </c>
      <c r="J295" s="6">
        <v>298.31099999999998</v>
      </c>
      <c r="K295" s="6">
        <v>1586.173</v>
      </c>
      <c r="L295" s="6">
        <v>8116.7749999999996</v>
      </c>
      <c r="M295" s="6">
        <v>0</v>
      </c>
      <c r="N295" s="6">
        <v>60046.692999999999</v>
      </c>
      <c r="O295" s="6">
        <v>3148.5909999999999</v>
      </c>
      <c r="P295" s="7">
        <f t="shared" si="46"/>
        <v>74088.076000000001</v>
      </c>
    </row>
    <row r="296" spans="2:16" s="8" customFormat="1" ht="34.9" customHeight="1">
      <c r="B296" s="60">
        <v>46252</v>
      </c>
      <c r="C296" s="61">
        <v>71964.248000000007</v>
      </c>
      <c r="D296" s="61">
        <v>998.57500000000005</v>
      </c>
      <c r="E296" s="61">
        <v>5903.3209999999999</v>
      </c>
      <c r="F296" s="61">
        <v>33514.373</v>
      </c>
      <c r="G296" s="62">
        <f t="shared" si="45"/>
        <v>112380.51699999999</v>
      </c>
      <c r="H296" s="61">
        <v>0.316</v>
      </c>
      <c r="I296" s="61">
        <v>426.53100000000001</v>
      </c>
      <c r="J296" s="61">
        <v>537.125</v>
      </c>
      <c r="K296" s="61">
        <v>7346.4669999999996</v>
      </c>
      <c r="L296" s="61">
        <v>6723.7520000000004</v>
      </c>
      <c r="M296" s="61">
        <v>0</v>
      </c>
      <c r="N296" s="61">
        <v>66652.347999999998</v>
      </c>
      <c r="O296" s="61">
        <v>3942.41</v>
      </c>
      <c r="P296" s="62">
        <f t="shared" si="46"/>
        <v>85628.949000000008</v>
      </c>
    </row>
    <row r="297" spans="2:16" s="8" customFormat="1" ht="9.75" customHeight="1">
      <c r="B297" s="71"/>
      <c r="C297" s="72"/>
      <c r="D297" s="72"/>
      <c r="E297" s="72"/>
      <c r="F297" s="72"/>
      <c r="G297" s="73"/>
      <c r="H297" s="72"/>
      <c r="I297" s="72"/>
      <c r="J297" s="72"/>
      <c r="K297" s="72"/>
      <c r="L297" s="72"/>
      <c r="M297" s="72"/>
      <c r="N297" s="72"/>
      <c r="O297" s="72"/>
      <c r="P297" s="73"/>
    </row>
    <row r="298" spans="2:16" s="78" customFormat="1" ht="22.5" customHeight="1">
      <c r="B298" s="74" t="s">
        <v>152</v>
      </c>
      <c r="C298" s="75"/>
      <c r="D298" s="75"/>
      <c r="E298" s="75"/>
      <c r="F298" s="75"/>
      <c r="G298" s="75"/>
      <c r="H298" s="76"/>
      <c r="I298" s="76"/>
      <c r="J298" s="76"/>
      <c r="K298" s="76"/>
      <c r="L298" s="76"/>
      <c r="M298" s="76"/>
      <c r="N298" s="76"/>
      <c r="O298" s="76"/>
      <c r="P298" s="77" t="s">
        <v>93</v>
      </c>
    </row>
    <row r="299" spans="2:16" s="2" customFormat="1" ht="46.5" customHeight="1">
      <c r="B299" s="161" t="s">
        <v>150</v>
      </c>
      <c r="C299" s="161"/>
      <c r="D299" s="161"/>
      <c r="E299" s="161"/>
      <c r="F299" s="161"/>
      <c r="G299" s="161"/>
      <c r="K299" s="159" t="s">
        <v>151</v>
      </c>
      <c r="L299" s="160"/>
      <c r="M299" s="160"/>
      <c r="N299" s="160"/>
      <c r="O299" s="160"/>
      <c r="P299" s="160"/>
    </row>
    <row r="300" spans="2:16" s="2" customFormat="1" ht="38.25" customHeight="1">
      <c r="B300" s="161" t="s">
        <v>163</v>
      </c>
      <c r="C300" s="161"/>
      <c r="D300" s="161"/>
      <c r="E300" s="161"/>
      <c r="F300" s="161"/>
      <c r="G300" s="161"/>
      <c r="H300" s="161"/>
      <c r="K300" s="159" t="s">
        <v>164</v>
      </c>
      <c r="L300" s="160"/>
      <c r="M300" s="160"/>
      <c r="N300" s="160"/>
      <c r="O300" s="160"/>
      <c r="P300" s="160"/>
    </row>
    <row r="301" spans="2:16" ht="1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spans="2:16" ht="1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2:16" ht="1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2:16" ht="1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2:16" ht="1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2:16" ht="1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2:16" ht="1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2:16" ht="1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2:16" ht="1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2:16" ht="1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2:16" ht="1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2:16" ht="1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2:16" ht="1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2:16" ht="1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2:16" ht="1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2:16" ht="1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2:16" ht="1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2:16" ht="1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2:16" ht="1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2:16" ht="1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2:16" ht="1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2:16" ht="1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2:16" ht="1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2:16" ht="1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2:16" ht="1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2:16" ht="1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2:16" ht="1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2:16" ht="1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2:16" ht="1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2:16" ht="1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2:16" ht="1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2:16" ht="1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2:16" ht="1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2:16" ht="1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2:16" ht="1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2:16" ht="1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2:16" ht="1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2:16" ht="1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2:16" ht="1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2:16" ht="1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2:16" ht="1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2:16" ht="1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2:16" ht="1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2:16" ht="1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2:16" ht="1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2:16" ht="1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2:16" ht="1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2:16" ht="1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2:16" ht="1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2:16" ht="1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2:16" ht="1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2:16" ht="1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2:16" ht="1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2:16" ht="1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2:16" ht="1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2:16" ht="1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2:16" ht="1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2:16" ht="1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2:16" ht="1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2:16" ht="1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2:16" ht="1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2:16" ht="1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2:16" ht="1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2:16" ht="1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2:16" ht="1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2:16" ht="1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2:16" ht="1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2:16" ht="1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2:16" ht="1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2:16" ht="1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2:16" ht="1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2:16" ht="1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2:16" ht="15">
      <c r="B373" s="138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/>
      <c r="N373"/>
      <c r="O373"/>
      <c r="P373"/>
    </row>
    <row r="374" spans="2:16" ht="1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2:16" ht="1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2:16" ht="1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2:16" ht="1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2:16" ht="1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2:16" ht="1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2:16" ht="1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2:16" ht="1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2:16" ht="1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2:16" ht="1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2:16" ht="1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2:16" ht="1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2:16" ht="1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2:16" ht="1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2:16" ht="1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2:16" ht="1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2:16" ht="1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2:16" ht="1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2:16" ht="1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2:16" ht="1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2:16" ht="1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2:16" ht="1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2:16" ht="1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2:16" ht="1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2:16" ht="1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2:16" ht="1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2:16" ht="1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2:16" ht="1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2:16" ht="1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2:16" ht="1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2:16" ht="1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2:16" ht="1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2:16" ht="1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2:16" ht="1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2:16" ht="1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2:16" ht="1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2:16" ht="1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2:16" ht="1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2:16" ht="1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2:16" ht="1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2:16" ht="1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2:16" ht="1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2:16" ht="1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spans="2:16" ht="1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spans="2:16" ht="1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spans="2:16" ht="1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spans="2:16" ht="1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spans="2:16" ht="1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spans="2:16" ht="1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spans="2:16" ht="1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424" spans="2:16" ht="1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spans="2:16" ht="1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  <row r="426" spans="2:16" ht="1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</row>
    <row r="427" spans="2:16" ht="1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</row>
    <row r="428" spans="2:16" ht="1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</row>
    <row r="429" spans="2:16" ht="1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</row>
    <row r="430" spans="2:16" ht="1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</row>
    <row r="431" spans="2:16" ht="1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</row>
    <row r="432" spans="2:16" ht="1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</row>
    <row r="433" spans="2:16" ht="1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</row>
    <row r="434" spans="2:16" ht="1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</row>
    <row r="435" spans="2:16" ht="1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</row>
    <row r="436" spans="2:16" ht="1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</row>
    <row r="437" spans="2:16" ht="1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</row>
    <row r="438" spans="2:16" ht="1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</row>
    <row r="439" spans="2:16" ht="1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</row>
    <row r="440" spans="2:16" ht="1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</row>
    <row r="441" spans="2:16" ht="1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</row>
    <row r="442" spans="2:16" ht="1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</row>
    <row r="443" spans="2:16" ht="1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</row>
    <row r="444" spans="2:16" ht="1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2:16" ht="1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</row>
    <row r="446" spans="2:16" ht="1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</row>
    <row r="447" spans="2:16" ht="1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spans="2:16" ht="1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</row>
    <row r="449" spans="2:16" ht="1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0" spans="2:16" ht="1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</row>
    <row r="451" spans="2:16" ht="1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</row>
    <row r="452" spans="2:16" ht="1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</row>
    <row r="453" spans="2:16" ht="1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</row>
    <row r="454" spans="2:16" ht="1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</row>
    <row r="455" spans="2:16" ht="1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</row>
    <row r="456" spans="2:16" ht="1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</row>
    <row r="457" spans="2:16" ht="1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</row>
    <row r="458" spans="2:16" ht="1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</row>
    <row r="459" spans="2:16" ht="1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</row>
    <row r="460" spans="2:16" ht="1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</row>
    <row r="461" spans="2:16" ht="1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</row>
    <row r="462" spans="2:16" ht="1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</row>
    <row r="463" spans="2:16" ht="1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</row>
    <row r="464" spans="2:16" ht="1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</row>
    <row r="465" spans="2:16" ht="1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</row>
    <row r="466" spans="2:16" ht="1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</row>
    <row r="467" spans="2:16" ht="1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</row>
    <row r="468" spans="2:16" ht="1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</row>
    <row r="469" spans="2:16" ht="1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</row>
    <row r="470" spans="2:16" ht="1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</row>
    <row r="471" spans="2:16" ht="1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</row>
    <row r="472" spans="2:16" ht="1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</row>
    <row r="473" spans="2:16" ht="1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</row>
    <row r="474" spans="2:16" ht="1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</row>
    <row r="475" spans="2:16" ht="1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</row>
    <row r="476" spans="2:16" ht="1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</row>
    <row r="477" spans="2:16" ht="1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</row>
    <row r="478" spans="2:16" ht="1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</row>
    <row r="479" spans="2:16" ht="1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</row>
    <row r="480" spans="2:16" ht="1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</row>
    <row r="481" spans="2:16" ht="1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</row>
    <row r="482" spans="2:16" ht="1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</row>
    <row r="483" spans="2:16" ht="1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</row>
    <row r="484" spans="2:16" ht="1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</row>
    <row r="485" spans="2:16" ht="1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</row>
    <row r="486" spans="2:16" ht="1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</row>
    <row r="487" spans="2:16" ht="1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</row>
    <row r="488" spans="2:16" ht="1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</row>
    <row r="489" spans="2:16" ht="1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</row>
    <row r="490" spans="2:16" ht="1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</row>
    <row r="491" spans="2:16" ht="1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</row>
    <row r="492" spans="2:16" ht="1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</row>
    <row r="493" spans="2:16" ht="1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</row>
    <row r="494" spans="2:16" ht="1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</row>
    <row r="495" spans="2:16" ht="1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</row>
    <row r="496" spans="2:16" ht="1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</row>
    <row r="497" spans="2:16" ht="1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</row>
    <row r="498" spans="2:16" ht="1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</row>
    <row r="499" spans="2:16" ht="1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</row>
    <row r="500" spans="2:16" ht="1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</row>
    <row r="501" spans="2:16" ht="1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</row>
    <row r="502" spans="2:16" ht="1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</row>
    <row r="503" spans="2:16" ht="1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</row>
    <row r="504" spans="2:16" ht="1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</row>
    <row r="505" spans="2:16" ht="1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</row>
    <row r="506" spans="2:16" ht="1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2:16" ht="1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2:16" ht="1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2:16" ht="1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2:16" ht="1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</row>
    <row r="511" spans="2:16" ht="1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</row>
    <row r="512" spans="2:16" ht="1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</row>
    <row r="513" spans="2:16" ht="1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  <row r="514" spans="2:16" ht="1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</row>
    <row r="515" spans="2:16" ht="1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</row>
    <row r="516" spans="2:16" ht="1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</row>
    <row r="517" spans="2:16" ht="1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</row>
    <row r="518" spans="2:16" ht="1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</row>
    <row r="519" spans="2:16" ht="1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</row>
    <row r="520" spans="2:16" ht="1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</row>
    <row r="521" spans="2:16" ht="1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</row>
    <row r="522" spans="2:16" ht="1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</row>
    <row r="523" spans="2:16" ht="1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</row>
    <row r="524" spans="2:16" ht="1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</row>
    <row r="525" spans="2:16" ht="1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</row>
    <row r="526" spans="2:16" ht="1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</row>
    <row r="527" spans="2:16" ht="1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</row>
    <row r="528" spans="2:16" ht="1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</row>
    <row r="529" spans="2:16" ht="1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</row>
    <row r="530" spans="2:16" ht="1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</row>
    <row r="531" spans="2:16" ht="1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</row>
    <row r="532" spans="2:16" ht="1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</row>
    <row r="533" spans="2:16" ht="1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</row>
    <row r="534" spans="2:16" ht="1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</row>
    <row r="535" spans="2:16" ht="1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</row>
    <row r="536" spans="2:16" ht="1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</row>
    <row r="537" spans="2:16" ht="1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</row>
    <row r="538" spans="2:16" ht="1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</row>
    <row r="539" spans="2:16" ht="1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</row>
    <row r="540" spans="2:16" ht="1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</row>
    <row r="541" spans="2:16" ht="1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</row>
    <row r="542" spans="2:16" ht="1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</row>
    <row r="543" spans="2:16" ht="1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</row>
    <row r="544" spans="2:16" ht="1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</row>
    <row r="545" spans="2:16" ht="1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</row>
    <row r="546" spans="2:16" ht="1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</row>
    <row r="547" spans="2:16" ht="1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</row>
    <row r="548" spans="2:16" ht="1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</row>
    <row r="549" spans="2:16" ht="1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</row>
    <row r="550" spans="2:16" ht="1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</row>
    <row r="551" spans="2:16" ht="1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</row>
    <row r="552" spans="2:16" ht="1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</row>
    <row r="553" spans="2:16" ht="1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</row>
    <row r="554" spans="2:16" ht="1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</row>
    <row r="555" spans="2:16" ht="1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</row>
    <row r="556" spans="2:16" ht="1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</row>
    <row r="557" spans="2:16" ht="1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</row>
    <row r="558" spans="2:16" ht="1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</row>
    <row r="559" spans="2:16" ht="1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</row>
    <row r="560" spans="2:16" ht="1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</row>
    <row r="561" spans="2:16" ht="1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</row>
    <row r="562" spans="2:16" ht="1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</row>
    <row r="563" spans="2:16" ht="1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</row>
    <row r="564" spans="2:16" ht="1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</row>
    <row r="565" spans="2:16" ht="1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</row>
    <row r="566" spans="2:16" ht="1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</row>
    <row r="567" spans="2:16" ht="1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</row>
    <row r="568" spans="2:16" ht="1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</row>
    <row r="569" spans="2:16" ht="1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</row>
    <row r="570" spans="2:16" ht="1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</row>
    <row r="571" spans="2:16" ht="1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</row>
    <row r="572" spans="2:16" ht="1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</row>
    <row r="573" spans="2:16" ht="1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</row>
    <row r="574" spans="2:16" ht="1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</row>
    <row r="575" spans="2:16" ht="1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</row>
    <row r="576" spans="2:16" ht="1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</row>
    <row r="577" spans="2:16" ht="1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</row>
    <row r="578" spans="2:16" ht="1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</row>
    <row r="579" spans="2:16" ht="1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</row>
    <row r="580" spans="2:16" ht="1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</row>
    <row r="581" spans="2:16" ht="1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</row>
    <row r="582" spans="2:16" ht="1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</row>
    <row r="583" spans="2:16" ht="1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</row>
    <row r="584" spans="2:16" ht="1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</row>
    <row r="585" spans="2:16" ht="1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</row>
    <row r="586" spans="2:16" ht="1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</row>
    <row r="587" spans="2:16" ht="1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</row>
    <row r="588" spans="2:16" ht="1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</row>
    <row r="589" spans="2:16" ht="1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</row>
    <row r="590" spans="2:16" ht="1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</row>
    <row r="591" spans="2:16" ht="1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</row>
    <row r="592" spans="2:16" ht="1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</row>
    <row r="593" spans="2:16" ht="1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</row>
    <row r="594" spans="2:16" ht="1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</row>
    <row r="595" spans="2:16" ht="1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</row>
    <row r="596" spans="2:16" ht="1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</row>
    <row r="597" spans="2:16" ht="1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</row>
    <row r="598" spans="2:16" ht="1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</row>
    <row r="599" spans="2:16" ht="1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</row>
    <row r="600" spans="2:16" ht="1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</row>
    <row r="601" spans="2:16" ht="1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</row>
    <row r="602" spans="2:16" ht="1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</row>
    <row r="603" spans="2:16" ht="1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</row>
    <row r="604" spans="2:16" ht="1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</row>
    <row r="605" spans="2:16" ht="1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</row>
    <row r="606" spans="2:16" ht="1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</row>
    <row r="607" spans="2:16" ht="1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</row>
    <row r="608" spans="2:16" ht="1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</row>
    <row r="609" spans="2:16" ht="1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</row>
    <row r="610" spans="2:16" ht="1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</row>
    <row r="611" spans="2:16" ht="1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</row>
    <row r="612" spans="2:16" ht="1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</row>
    <row r="613" spans="2:16" ht="1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</row>
    <row r="614" spans="2:16" ht="1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</row>
    <row r="615" spans="2:16" ht="1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</row>
    <row r="616" spans="2:16" ht="1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</row>
    <row r="617" spans="2:16" ht="1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</row>
    <row r="618" spans="2:16" ht="1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</row>
    <row r="619" spans="2:16" ht="1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</row>
    <row r="620" spans="2:16" ht="1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</row>
    <row r="621" spans="2:16" ht="1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</row>
    <row r="622" spans="2:16" ht="1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</row>
    <row r="623" spans="2:16" ht="1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</row>
    <row r="624" spans="2:16" ht="1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</row>
    <row r="625" spans="2:16" ht="1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</row>
    <row r="626" spans="2:16" ht="1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</row>
    <row r="627" spans="2:16" ht="1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</row>
    <row r="628" spans="2:16" ht="1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</row>
    <row r="629" spans="2:16" ht="1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</row>
    <row r="630" spans="2:16" ht="1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</row>
    <row r="631" spans="2:16" ht="1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</row>
    <row r="632" spans="2:16" ht="1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</row>
    <row r="633" spans="2:16" ht="1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</row>
    <row r="634" spans="2:16" ht="1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</row>
    <row r="635" spans="2:16" ht="1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</row>
    <row r="636" spans="2:16" ht="1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</row>
    <row r="637" spans="2:16" ht="1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</row>
    <row r="638" spans="2:16" ht="1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</row>
    <row r="639" spans="2:16" ht="1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</row>
    <row r="640" spans="2:16" ht="1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</row>
    <row r="641" spans="2:16" ht="1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</row>
    <row r="642" spans="2:16" ht="1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</row>
    <row r="643" spans="2:16" ht="1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</row>
    <row r="644" spans="2:16" ht="1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</row>
    <row r="645" spans="2:16" ht="1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</row>
    <row r="646" spans="2:16" ht="1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</row>
    <row r="647" spans="2:16" ht="1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</row>
    <row r="648" spans="2:16" ht="1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</row>
    <row r="649" spans="2:16" ht="1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</row>
    <row r="650" spans="2:16" ht="1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</row>
    <row r="651" spans="2:16" ht="1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</row>
    <row r="652" spans="2:16" ht="1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</row>
    <row r="653" spans="2:16" ht="1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</row>
    <row r="654" spans="2:16" ht="1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</row>
    <row r="655" spans="2:16" ht="1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</row>
    <row r="656" spans="2:16" ht="1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</row>
    <row r="657" spans="2:16" ht="1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</row>
    <row r="658" spans="2:16" ht="1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</row>
    <row r="659" spans="2:16" ht="1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</row>
    <row r="660" spans="2:16" ht="1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</row>
    <row r="661" spans="2:16" ht="1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</row>
    <row r="662" spans="2:16" ht="1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</row>
    <row r="663" spans="2:16" ht="1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</row>
    <row r="664" spans="2:16" ht="1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</row>
    <row r="665" spans="2:16" ht="1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</row>
    <row r="666" spans="2:16" ht="1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</row>
    <row r="667" spans="2:16" ht="1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</row>
    <row r="668" spans="2:16" ht="1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spans="2:16" ht="1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2:16" ht="1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2:16" ht="1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2:16" ht="1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2:16" ht="1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2:16" ht="1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2:16" ht="1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2:16" ht="1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2:16" ht="1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2:16" ht="1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2:16" ht="1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2:16" ht="1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2:16" ht="1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2:16" ht="1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2:16" ht="1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2:16" ht="1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2:16" ht="1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2:16" ht="1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2:16" ht="1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2:16" ht="1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2:16" ht="1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2:16" ht="1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2:16" ht="1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2:16" ht="1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2:16" ht="1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2:16" ht="1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2:16" ht="1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spans="2:16" ht="1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spans="2:16" ht="1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spans="2:16" ht="1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spans="2:16" ht="1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spans="2:16" ht="1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spans="2:16" ht="1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spans="2:16" ht="1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spans="2:16" ht="1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spans="2:16" ht="1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spans="2:16" ht="1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</row>
    <row r="706" spans="2:16" ht="1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</row>
    <row r="707" spans="2:16" ht="1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</row>
    <row r="708" spans="2:16" ht="1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</row>
    <row r="709" spans="2:16" ht="1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</row>
    <row r="710" spans="2:16" ht="1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</row>
    <row r="711" spans="2:16" ht="1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</row>
    <row r="712" spans="2:16" ht="1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</row>
    <row r="713" spans="2:16" ht="1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</row>
    <row r="714" spans="2:16" ht="1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</row>
    <row r="715" spans="2:16" ht="1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</row>
    <row r="716" spans="2:16" ht="1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</row>
    <row r="717" spans="2:16" ht="1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</row>
    <row r="718" spans="2:16" ht="1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</row>
    <row r="719" spans="2:16" ht="1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</row>
    <row r="720" spans="2:16" ht="1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</row>
    <row r="721" spans="2:16" ht="1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</row>
    <row r="722" spans="2:16" ht="1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</row>
    <row r="723" spans="2:16" ht="1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</row>
    <row r="724" spans="2:16" ht="1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</row>
    <row r="725" spans="2:16" ht="1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</row>
    <row r="726" spans="2:16" ht="1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</row>
    <row r="727" spans="2:16" ht="1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</row>
    <row r="728" spans="2:16" ht="1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</row>
    <row r="729" spans="2:16" ht="1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</row>
    <row r="730" spans="2:16" ht="1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</row>
    <row r="731" spans="2:16" ht="1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</row>
    <row r="732" spans="2:16" ht="1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</row>
    <row r="733" spans="2:16" ht="1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</row>
    <row r="734" spans="2:16" ht="1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</row>
    <row r="735" spans="2:16" ht="1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</row>
    <row r="736" spans="2:16" ht="1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</row>
    <row r="737" spans="2:16" ht="1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</row>
    <row r="738" spans="2:16" ht="1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</row>
    <row r="739" spans="2:16" ht="1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</row>
    <row r="740" spans="2:16" ht="1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</row>
    <row r="741" spans="2:16" ht="1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</row>
    <row r="742" spans="2:16" ht="1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</row>
    <row r="743" spans="2:16" ht="1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</row>
    <row r="744" spans="2:16" ht="1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</row>
    <row r="745" spans="2:16" ht="1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</row>
    <row r="746" spans="2:16" ht="1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</row>
    <row r="747" spans="2:16" ht="1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</row>
    <row r="748" spans="2:16" ht="1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</row>
    <row r="749" spans="2:16" ht="1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</row>
    <row r="750" spans="2:16" ht="1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</row>
    <row r="751" spans="2:16" ht="1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</row>
    <row r="752" spans="2:16" ht="1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</row>
    <row r="753" spans="2:16" ht="1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  <row r="754" spans="2:16" ht="1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</row>
    <row r="755" spans="2:16" ht="1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</row>
    <row r="756" spans="2:16" ht="1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</row>
    <row r="757" spans="2:16" ht="1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</row>
    <row r="758" spans="2:16" ht="1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</row>
  </sheetData>
  <sortState ref="B265:P268">
    <sortCondition descending="1" ref="B265"/>
  </sortState>
  <mergeCells count="13">
    <mergeCell ref="K300:P300"/>
    <mergeCell ref="B299:G299"/>
    <mergeCell ref="K299:P299"/>
    <mergeCell ref="B3:D3"/>
    <mergeCell ref="N3:P3"/>
    <mergeCell ref="E3:M3"/>
    <mergeCell ref="C5:O5"/>
    <mergeCell ref="B7:B9"/>
    <mergeCell ref="C7:G7"/>
    <mergeCell ref="H7:P7"/>
    <mergeCell ref="C8:G8"/>
    <mergeCell ref="H8:P8"/>
    <mergeCell ref="B300:H300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Q823"/>
  <sheetViews>
    <sheetView rightToLeft="1" zoomScale="50" zoomScaleNormal="50" workbookViewId="0">
      <selection activeCell="E2" sqref="E2:L2"/>
    </sheetView>
  </sheetViews>
  <sheetFormatPr defaultColWidth="9.140625" defaultRowHeight="15.75"/>
  <cols>
    <col min="1" max="1" width="10.7109375" customWidth="1"/>
    <col min="2" max="2" width="22.7109375" style="1" customWidth="1"/>
    <col min="3" max="15" width="26.7109375" style="1" customWidth="1"/>
    <col min="18" max="18" width="9.140625" customWidth="1"/>
  </cols>
  <sheetData>
    <row r="1" spans="2:16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16" s="82" customFormat="1" ht="40.15" customHeight="1">
      <c r="B2" s="162" t="s">
        <v>130</v>
      </c>
      <c r="C2" s="162"/>
      <c r="D2" s="162"/>
      <c r="E2" s="164" t="s">
        <v>100</v>
      </c>
      <c r="F2" s="164"/>
      <c r="G2" s="164"/>
      <c r="H2" s="164"/>
      <c r="I2" s="164"/>
      <c r="J2" s="164"/>
      <c r="K2" s="164"/>
      <c r="L2" s="164"/>
      <c r="M2" s="163" t="s">
        <v>106</v>
      </c>
      <c r="N2" s="163"/>
      <c r="O2" s="163"/>
    </row>
    <row r="3" spans="2:16" s="82" customFormat="1" ht="40.15" customHeight="1">
      <c r="B3" s="63"/>
      <c r="C3" s="63"/>
      <c r="D3" s="164" t="s">
        <v>161</v>
      </c>
      <c r="E3" s="164"/>
      <c r="F3" s="164"/>
      <c r="G3" s="164"/>
      <c r="H3" s="164"/>
      <c r="I3" s="164"/>
      <c r="J3" s="164"/>
      <c r="K3" s="164"/>
      <c r="L3" s="164"/>
      <c r="M3" s="164"/>
      <c r="N3" s="64"/>
      <c r="O3" s="64"/>
    </row>
    <row r="4" spans="2:16" s="82" customFormat="1" ht="40.15" customHeight="1">
      <c r="B4" s="21"/>
      <c r="D4" s="165" t="s">
        <v>162</v>
      </c>
      <c r="E4" s="165"/>
      <c r="F4" s="165"/>
      <c r="G4" s="165"/>
      <c r="H4" s="165"/>
      <c r="I4" s="165"/>
      <c r="J4" s="165"/>
      <c r="K4" s="165"/>
      <c r="L4" s="165"/>
      <c r="M4" s="165"/>
      <c r="N4" s="85"/>
      <c r="O4" s="83" t="s">
        <v>97</v>
      </c>
      <c r="P4" s="84"/>
    </row>
    <row r="5" spans="2:16" ht="10.15" customHeight="1">
      <c r="B5" s="21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49"/>
      <c r="P5" s="24"/>
    </row>
    <row r="6" spans="2:16" ht="36" customHeight="1">
      <c r="B6" s="36"/>
      <c r="C6" s="169" t="s">
        <v>83</v>
      </c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77" t="s">
        <v>40</v>
      </c>
    </row>
    <row r="7" spans="2:16" ht="36" customHeight="1">
      <c r="B7" s="30"/>
      <c r="C7" s="175" t="s">
        <v>84</v>
      </c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6"/>
      <c r="O7" s="178"/>
    </row>
    <row r="8" spans="2:16" ht="120" customHeight="1">
      <c r="B8" s="37"/>
      <c r="C8" s="27" t="s">
        <v>52</v>
      </c>
      <c r="D8" s="27" t="s">
        <v>51</v>
      </c>
      <c r="E8" s="27" t="s">
        <v>50</v>
      </c>
      <c r="F8" s="27" t="s">
        <v>49</v>
      </c>
      <c r="G8" s="27" t="s">
        <v>48</v>
      </c>
      <c r="H8" s="27" t="s">
        <v>47</v>
      </c>
      <c r="I8" s="27" t="s">
        <v>46</v>
      </c>
      <c r="J8" s="27" t="s">
        <v>45</v>
      </c>
      <c r="K8" s="27" t="s">
        <v>44</v>
      </c>
      <c r="L8" s="27" t="s">
        <v>43</v>
      </c>
      <c r="M8" s="27" t="s">
        <v>42</v>
      </c>
      <c r="N8" s="92" t="s">
        <v>41</v>
      </c>
      <c r="O8" s="179"/>
    </row>
    <row r="9" spans="2:16" ht="32.25" customHeight="1">
      <c r="B9" s="3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32"/>
    </row>
    <row r="10" spans="2:16" ht="120" customHeight="1">
      <c r="B10" s="33"/>
      <c r="C10" s="80" t="s">
        <v>39</v>
      </c>
      <c r="D10" s="80" t="s">
        <v>38</v>
      </c>
      <c r="E10" s="80" t="s">
        <v>37</v>
      </c>
      <c r="F10" s="80" t="s">
        <v>36</v>
      </c>
      <c r="G10" s="80" t="s">
        <v>35</v>
      </c>
      <c r="H10" s="80" t="s">
        <v>34</v>
      </c>
      <c r="I10" s="80" t="s">
        <v>33</v>
      </c>
      <c r="J10" s="80" t="s">
        <v>32</v>
      </c>
      <c r="K10" s="80" t="s">
        <v>31</v>
      </c>
      <c r="L10" s="80" t="s">
        <v>30</v>
      </c>
      <c r="M10" s="80" t="s">
        <v>29</v>
      </c>
      <c r="N10" s="80" t="s">
        <v>28</v>
      </c>
      <c r="O10" s="81" t="s">
        <v>27</v>
      </c>
    </row>
    <row r="11" spans="2:16" ht="40.15" customHeight="1">
      <c r="B11" s="26" t="s">
        <v>79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2:16" s="8" customFormat="1" ht="34.9" hidden="1" customHeight="1">
      <c r="B12" s="5">
        <v>2004</v>
      </c>
      <c r="C12" s="6">
        <v>84073.7</v>
      </c>
      <c r="D12" s="6">
        <v>108018.3</v>
      </c>
      <c r="E12" s="6">
        <v>3061.1</v>
      </c>
      <c r="F12" s="6">
        <v>22166</v>
      </c>
      <c r="G12" s="6">
        <v>75679.600000000006</v>
      </c>
      <c r="H12" s="6">
        <v>76584.399999999994</v>
      </c>
      <c r="I12" s="6">
        <v>257308.5</v>
      </c>
      <c r="J12" s="6">
        <v>63548.5</v>
      </c>
      <c r="K12" s="6">
        <v>261366.8</v>
      </c>
      <c r="L12" s="6">
        <v>34323.699999999997</v>
      </c>
      <c r="M12" s="6">
        <v>23411.200000000001</v>
      </c>
      <c r="N12" s="7">
        <f>SUM(C12:M12)</f>
        <v>1009541.7999999998</v>
      </c>
      <c r="O12" s="7">
        <f>N12+'59a'!G13+'59a'!P13</f>
        <v>3793251.0999999996</v>
      </c>
    </row>
    <row r="13" spans="2:16" s="8" customFormat="1" ht="34.9" hidden="1" customHeight="1">
      <c r="B13" s="9">
        <v>2005</v>
      </c>
      <c r="C13" s="10">
        <v>140194.79999999999</v>
      </c>
      <c r="D13" s="10">
        <v>146414.6</v>
      </c>
      <c r="E13" s="10">
        <v>2138.9</v>
      </c>
      <c r="F13" s="10">
        <v>3978.5</v>
      </c>
      <c r="G13" s="10">
        <v>94749.7</v>
      </c>
      <c r="H13" s="10">
        <v>335682.4</v>
      </c>
      <c r="I13" s="10">
        <v>558859.69999999995</v>
      </c>
      <c r="J13" s="10">
        <v>199290.5</v>
      </c>
      <c r="K13" s="10">
        <v>821254.2</v>
      </c>
      <c r="L13" s="10">
        <v>140776.9</v>
      </c>
      <c r="M13" s="10">
        <v>31102.2</v>
      </c>
      <c r="N13" s="11">
        <f>SUM(C13:M13)</f>
        <v>2474442.4</v>
      </c>
      <c r="O13" s="11">
        <f>N13+'59a'!G14+'59a'!P14</f>
        <v>16871051.900000002</v>
      </c>
    </row>
    <row r="14" spans="2:16" s="8" customFormat="1" ht="34.9" hidden="1" customHeight="1">
      <c r="B14" s="5">
        <v>2006</v>
      </c>
      <c r="C14" s="6">
        <v>82595.8</v>
      </c>
      <c r="D14" s="6">
        <v>132590.79999999999</v>
      </c>
      <c r="E14" s="6">
        <v>10345.5</v>
      </c>
      <c r="F14" s="6">
        <v>8004.1</v>
      </c>
      <c r="G14" s="6">
        <v>114403.3</v>
      </c>
      <c r="H14" s="6">
        <v>62441</v>
      </c>
      <c r="I14" s="6">
        <v>306110.3</v>
      </c>
      <c r="J14" s="6">
        <v>167761.5</v>
      </c>
      <c r="K14" s="6">
        <v>698533.8</v>
      </c>
      <c r="L14" s="6">
        <v>98541.5</v>
      </c>
      <c r="M14" s="6">
        <v>16151.6</v>
      </c>
      <c r="N14" s="7">
        <f>SUM(C14:M14)</f>
        <v>1697479.2000000002</v>
      </c>
      <c r="O14" s="7">
        <f>N14+'59a'!G15+'59a'!P15</f>
        <v>14209870.700000001</v>
      </c>
    </row>
    <row r="15" spans="2:16" s="8" customFormat="1" ht="34.9" hidden="1" customHeight="1">
      <c r="B15" s="9">
        <v>2007</v>
      </c>
      <c r="C15" s="10">
        <v>75701.7</v>
      </c>
      <c r="D15" s="10">
        <v>261020</v>
      </c>
      <c r="E15" s="10">
        <v>43498.3</v>
      </c>
      <c r="F15" s="10">
        <v>10120.9</v>
      </c>
      <c r="G15" s="10">
        <v>87294.8</v>
      </c>
      <c r="H15" s="10">
        <v>32276.400000000001</v>
      </c>
      <c r="I15" s="10">
        <v>334523.7</v>
      </c>
      <c r="J15" s="10">
        <v>186756.6</v>
      </c>
      <c r="K15" s="10">
        <v>658572</v>
      </c>
      <c r="L15" s="10">
        <v>199564.9</v>
      </c>
      <c r="M15" s="10">
        <v>21545.599999999999</v>
      </c>
      <c r="N15" s="11">
        <f>SUM(C15:M15)</f>
        <v>1910874.9</v>
      </c>
      <c r="O15" s="11">
        <f>N15+'59a'!G16+'59a'!P16</f>
        <v>12348101.9</v>
      </c>
    </row>
    <row r="16" spans="2:16" s="8" customFormat="1" ht="34.9" hidden="1" customHeight="1">
      <c r="B16" s="5">
        <v>2008</v>
      </c>
      <c r="C16" s="6">
        <v>19076.579000000002</v>
      </c>
      <c r="D16" s="6">
        <v>275509.69500000001</v>
      </c>
      <c r="E16" s="6">
        <v>30734.77</v>
      </c>
      <c r="F16" s="6">
        <v>4898.3490000000002</v>
      </c>
      <c r="G16" s="6">
        <v>99982.900999999998</v>
      </c>
      <c r="H16" s="6">
        <v>24792.449000000001</v>
      </c>
      <c r="I16" s="6">
        <v>4117485.0680000004</v>
      </c>
      <c r="J16" s="6">
        <v>133818.83799999999</v>
      </c>
      <c r="K16" s="6">
        <v>458900.45799999998</v>
      </c>
      <c r="L16" s="6">
        <v>84320.019</v>
      </c>
      <c r="M16" s="6">
        <v>7316.8230000000003</v>
      </c>
      <c r="N16" s="7">
        <v>5256835.949</v>
      </c>
      <c r="O16" s="7">
        <f>N16+'59a'!G17+'59a'!P17</f>
        <v>20318014.631999999</v>
      </c>
    </row>
    <row r="17" spans="2:15" s="8" customFormat="1" ht="34.9" hidden="1" customHeight="1">
      <c r="B17" s="9">
        <v>2009</v>
      </c>
      <c r="C17" s="10">
        <v>9812.1</v>
      </c>
      <c r="D17" s="10">
        <v>162100.66</v>
      </c>
      <c r="E17" s="10">
        <v>12011.03</v>
      </c>
      <c r="F17" s="10">
        <v>511.71</v>
      </c>
      <c r="G17" s="10">
        <v>44931.430000000008</v>
      </c>
      <c r="H17" s="10">
        <v>11413.069999999998</v>
      </c>
      <c r="I17" s="10">
        <v>687293.39</v>
      </c>
      <c r="J17" s="10">
        <v>155484.81900000002</v>
      </c>
      <c r="K17" s="10">
        <v>46507.358999999997</v>
      </c>
      <c r="L17" s="10">
        <v>94958.869999999981</v>
      </c>
      <c r="M17" s="10">
        <v>64728.05799999999</v>
      </c>
      <c r="N17" s="11">
        <v>1289752.4959999998</v>
      </c>
      <c r="O17" s="11">
        <f>N17+'59a'!G18+'59a'!P18</f>
        <v>9665310.618999999</v>
      </c>
    </row>
    <row r="18" spans="2:15" s="8" customFormat="1" ht="34.9" hidden="1" customHeight="1">
      <c r="B18" s="5">
        <v>2010</v>
      </c>
      <c r="C18" s="6">
        <v>14655.015000000001</v>
      </c>
      <c r="D18" s="6">
        <v>33141.800000000003</v>
      </c>
      <c r="E18" s="6">
        <v>30404.539999999997</v>
      </c>
      <c r="F18" s="6">
        <v>676.94499999999994</v>
      </c>
      <c r="G18" s="6">
        <v>30480.800000000003</v>
      </c>
      <c r="H18" s="6">
        <v>17883.958000000002</v>
      </c>
      <c r="I18" s="6">
        <v>198454.59399999998</v>
      </c>
      <c r="J18" s="6">
        <v>26793.204000000002</v>
      </c>
      <c r="K18" s="6">
        <v>287588</v>
      </c>
      <c r="L18" s="6">
        <v>79966.226999999999</v>
      </c>
      <c r="M18" s="6">
        <v>51165.9</v>
      </c>
      <c r="N18" s="7">
        <v>771210.98300000001</v>
      </c>
      <c r="O18" s="7">
        <f>N18+'59a'!G19+'59a'!P19</f>
        <v>6689987.1299999999</v>
      </c>
    </row>
    <row r="19" spans="2:15" s="8" customFormat="1" ht="34.9" hidden="1" customHeight="1">
      <c r="B19" s="9">
        <v>2011</v>
      </c>
      <c r="C19" s="10">
        <v>5790.0000000000009</v>
      </c>
      <c r="D19" s="10">
        <v>19684.099999999999</v>
      </c>
      <c r="E19" s="10">
        <v>2528.1</v>
      </c>
      <c r="F19" s="10">
        <v>1628.8999999999996</v>
      </c>
      <c r="G19" s="10">
        <v>9199.2000000000007</v>
      </c>
      <c r="H19" s="10">
        <v>30245.700000000004</v>
      </c>
      <c r="I19" s="10">
        <v>177860.8</v>
      </c>
      <c r="J19" s="10">
        <v>40079.399999999994</v>
      </c>
      <c r="K19" s="10">
        <v>202577.5</v>
      </c>
      <c r="L19" s="10">
        <v>19244.099999999999</v>
      </c>
      <c r="M19" s="10">
        <v>8055.9</v>
      </c>
      <c r="N19" s="11">
        <v>516893.69999999995</v>
      </c>
      <c r="O19" s="11">
        <f>N19+'59a'!G20+'59a'!P20</f>
        <v>2850246.6999999997</v>
      </c>
    </row>
    <row r="20" spans="2:15" s="8" customFormat="1" ht="34.9" hidden="1" customHeight="1">
      <c r="B20" s="5">
        <v>2012</v>
      </c>
      <c r="C20" s="6">
        <v>4768.7569999999996</v>
      </c>
      <c r="D20" s="6">
        <v>20204.896899999996</v>
      </c>
      <c r="E20" s="6">
        <v>2436.4179999999997</v>
      </c>
      <c r="F20" s="6">
        <v>5178.3730000000014</v>
      </c>
      <c r="G20" s="6">
        <v>1588.0340000000001</v>
      </c>
      <c r="H20" s="6">
        <v>78725.319000000003</v>
      </c>
      <c r="I20" s="6">
        <v>90337.212</v>
      </c>
      <c r="J20" s="6">
        <v>75905.299999999988</v>
      </c>
      <c r="K20" s="6">
        <v>22736.645999999997</v>
      </c>
      <c r="L20" s="6">
        <v>27188.278999999999</v>
      </c>
      <c r="M20" s="6">
        <v>56307.908000000003</v>
      </c>
      <c r="N20" s="7">
        <v>385377.14289999998</v>
      </c>
      <c r="O20" s="7">
        <f>N20+'59a'!G21+'59a'!P21</f>
        <v>1978750.0429</v>
      </c>
    </row>
    <row r="21" spans="2:15" s="8" customFormat="1" ht="34.9" hidden="1" customHeight="1">
      <c r="B21" s="9">
        <v>2013</v>
      </c>
      <c r="C21" s="10">
        <v>9718.5999999999985</v>
      </c>
      <c r="D21" s="10">
        <v>29260.6</v>
      </c>
      <c r="E21" s="10">
        <v>8746.0999999999985</v>
      </c>
      <c r="F21" s="10">
        <v>1659.9</v>
      </c>
      <c r="G21" s="10">
        <v>7307.2</v>
      </c>
      <c r="H21" s="10">
        <v>38666.400000000001</v>
      </c>
      <c r="I21" s="10">
        <v>93632.099999999991</v>
      </c>
      <c r="J21" s="10">
        <v>54684.2</v>
      </c>
      <c r="K21" s="10">
        <v>61894.3</v>
      </c>
      <c r="L21" s="10">
        <v>43391.4</v>
      </c>
      <c r="M21" s="10">
        <v>48725.2</v>
      </c>
      <c r="N21" s="11">
        <v>397686.00000000006</v>
      </c>
      <c r="O21" s="11">
        <f>N21+'59a'!G22+'59a'!P22</f>
        <v>3027245.443</v>
      </c>
    </row>
    <row r="22" spans="2:15" s="8" customFormat="1" ht="34.9" hidden="1" customHeight="1">
      <c r="B22" s="5">
        <v>2014</v>
      </c>
      <c r="C22" s="6">
        <v>30038.993999999999</v>
      </c>
      <c r="D22" s="6">
        <v>76361.911999999997</v>
      </c>
      <c r="E22" s="6">
        <v>4405.5339999999997</v>
      </c>
      <c r="F22" s="6">
        <v>211.108</v>
      </c>
      <c r="G22" s="6">
        <v>16100.642999999996</v>
      </c>
      <c r="H22" s="6">
        <v>49802.53</v>
      </c>
      <c r="I22" s="6">
        <v>91190.820999999996</v>
      </c>
      <c r="J22" s="6">
        <v>24188.305999999997</v>
      </c>
      <c r="K22" s="6">
        <v>18769.341999999997</v>
      </c>
      <c r="L22" s="6">
        <v>57442.429000000011</v>
      </c>
      <c r="M22" s="6">
        <v>10583.152</v>
      </c>
      <c r="N22" s="7">
        <v>379094.77099999995</v>
      </c>
      <c r="O22" s="7">
        <f>N22+'59a'!G23+'59a'!P23</f>
        <v>2263404.702</v>
      </c>
    </row>
    <row r="23" spans="2:15" s="8" customFormat="1" ht="34.9" hidden="1" customHeight="1">
      <c r="B23" s="9">
        <v>2015</v>
      </c>
      <c r="C23" s="10">
        <v>21749.471999999998</v>
      </c>
      <c r="D23" s="10">
        <v>47221.312000000005</v>
      </c>
      <c r="E23" s="10">
        <v>1489.0180000000003</v>
      </c>
      <c r="F23" s="10">
        <v>213.745</v>
      </c>
      <c r="G23" s="10">
        <v>20087.132000000005</v>
      </c>
      <c r="H23" s="10">
        <v>41234.746999999996</v>
      </c>
      <c r="I23" s="10">
        <v>62308.873</v>
      </c>
      <c r="J23" s="10">
        <v>26941.055999999997</v>
      </c>
      <c r="K23" s="10">
        <v>25280.629000000004</v>
      </c>
      <c r="L23" s="10">
        <v>93605.307000000001</v>
      </c>
      <c r="M23" s="10">
        <v>6431.4</v>
      </c>
      <c r="N23" s="11">
        <v>346562.69099999999</v>
      </c>
      <c r="O23" s="11">
        <f>N23+'59a'!G24+'59a'!P24</f>
        <v>3417078.9050000003</v>
      </c>
    </row>
    <row r="24" spans="2:15" s="8" customFormat="1" ht="34.9" hidden="1" customHeight="1">
      <c r="B24" s="5">
        <v>2016</v>
      </c>
      <c r="C24" s="6">
        <v>23242.054999999997</v>
      </c>
      <c r="D24" s="6">
        <v>39174.547999999988</v>
      </c>
      <c r="E24" s="6">
        <v>3696.8110000000001</v>
      </c>
      <c r="F24" s="6">
        <v>127.02</v>
      </c>
      <c r="G24" s="6">
        <v>38398.482000000004</v>
      </c>
      <c r="H24" s="6">
        <v>282739.07300000003</v>
      </c>
      <c r="I24" s="6">
        <v>121086.62900000003</v>
      </c>
      <c r="J24" s="6">
        <v>54336.082000000002</v>
      </c>
      <c r="K24" s="6">
        <v>52808.558000000005</v>
      </c>
      <c r="L24" s="6">
        <v>88109.735000000001</v>
      </c>
      <c r="M24" s="6">
        <v>0</v>
      </c>
      <c r="N24" s="7">
        <v>703718.99300000002</v>
      </c>
      <c r="O24" s="7">
        <f>N24+'59a'!G25+'59a'!P25</f>
        <v>2329466.1860000002</v>
      </c>
    </row>
    <row r="25" spans="2:15" s="8" customFormat="1" ht="34.9" hidden="1" customHeight="1">
      <c r="B25" s="9">
        <v>2017</v>
      </c>
      <c r="C25" s="10">
        <v>10251.276000000002</v>
      </c>
      <c r="D25" s="10">
        <v>40147.962</v>
      </c>
      <c r="E25" s="10">
        <v>1179.2660000000001</v>
      </c>
      <c r="F25" s="10">
        <v>185.66299999999998</v>
      </c>
      <c r="G25" s="10">
        <v>25196.060000000005</v>
      </c>
      <c r="H25" s="10">
        <v>378163.50899999996</v>
      </c>
      <c r="I25" s="10">
        <v>113572.01700000002</v>
      </c>
      <c r="J25" s="10">
        <v>18532.933000000001</v>
      </c>
      <c r="K25" s="10">
        <v>17124.184000000001</v>
      </c>
      <c r="L25" s="10">
        <v>51396.928</v>
      </c>
      <c r="M25" s="10">
        <v>0</v>
      </c>
      <c r="N25" s="11">
        <v>655749.79799999995</v>
      </c>
      <c r="O25" s="11">
        <f>N25+'59a'!G26+'59a'!P26</f>
        <v>2926233.5334999999</v>
      </c>
    </row>
    <row r="26" spans="2:15" s="8" customFormat="1" ht="34.9" hidden="1" customHeight="1">
      <c r="B26" s="5">
        <v>2018</v>
      </c>
      <c r="C26" s="6">
        <v>5794.6</v>
      </c>
      <c r="D26" s="6">
        <v>29293.171999999999</v>
      </c>
      <c r="E26" s="6">
        <v>24.631999999999998</v>
      </c>
      <c r="F26" s="6">
        <v>39.011000000000003</v>
      </c>
      <c r="G26" s="6">
        <v>5561.674</v>
      </c>
      <c r="H26" s="6">
        <v>365624.27299999999</v>
      </c>
      <c r="I26" s="6">
        <v>484411.19600000005</v>
      </c>
      <c r="J26" s="6">
        <v>47641.618000000009</v>
      </c>
      <c r="K26" s="6">
        <v>13315.304</v>
      </c>
      <c r="L26" s="6">
        <v>36583.65</v>
      </c>
      <c r="M26" s="6">
        <v>0</v>
      </c>
      <c r="N26" s="7">
        <v>988289.12999999989</v>
      </c>
      <c r="O26" s="7">
        <f>N26+'59a'!G27+'59a'!P27</f>
        <v>2319325.9819999994</v>
      </c>
    </row>
    <row r="27" spans="2:15" s="8" customFormat="1" ht="34.9" hidden="1" customHeight="1">
      <c r="B27" s="9">
        <v>2019</v>
      </c>
      <c r="C27" s="10">
        <v>8209.5889999999999</v>
      </c>
      <c r="D27" s="10">
        <v>29951.353999999999</v>
      </c>
      <c r="E27" s="10">
        <v>46.171999999999997</v>
      </c>
      <c r="F27" s="10">
        <v>1.208</v>
      </c>
      <c r="G27" s="10">
        <v>27584.971000000001</v>
      </c>
      <c r="H27" s="10">
        <v>75362.812999999995</v>
      </c>
      <c r="I27" s="10">
        <v>79813.516999999978</v>
      </c>
      <c r="J27" s="10">
        <v>20251.989000000005</v>
      </c>
      <c r="K27" s="10">
        <v>12116.545</v>
      </c>
      <c r="L27" s="10">
        <v>36026.434000000001</v>
      </c>
      <c r="M27" s="10">
        <v>0</v>
      </c>
      <c r="N27" s="11">
        <v>289364.592</v>
      </c>
      <c r="O27" s="11">
        <f>N27+'59a'!G28+'59a'!P28</f>
        <v>1585437.4989999998</v>
      </c>
    </row>
    <row r="28" spans="2:15" s="8" customFormat="1" ht="34.9" hidden="1" customHeight="1">
      <c r="B28" s="5" t="s">
        <v>143</v>
      </c>
      <c r="C28" s="6">
        <v>4548.951</v>
      </c>
      <c r="D28" s="6">
        <v>33719.974999999999</v>
      </c>
      <c r="E28" s="6">
        <v>0</v>
      </c>
      <c r="F28" s="6">
        <v>0</v>
      </c>
      <c r="G28" s="6">
        <v>24573.542000000001</v>
      </c>
      <c r="H28" s="6">
        <v>40556.51</v>
      </c>
      <c r="I28" s="6">
        <v>55370.096000000005</v>
      </c>
      <c r="J28" s="6">
        <v>5043.0919999999987</v>
      </c>
      <c r="K28" s="6">
        <v>10313.297</v>
      </c>
      <c r="L28" s="6">
        <v>8190.6490000000003</v>
      </c>
      <c r="M28" s="6">
        <v>0</v>
      </c>
      <c r="N28" s="7">
        <v>182316.11199999994</v>
      </c>
      <c r="O28" s="7">
        <f>N28+'59a'!G29+'59a'!P29</f>
        <v>1048824.45</v>
      </c>
    </row>
    <row r="29" spans="2:15" s="8" customFormat="1" ht="34.9" customHeight="1">
      <c r="B29" s="9">
        <v>2021</v>
      </c>
      <c r="C29" s="10">
        <v>27675.356</v>
      </c>
      <c r="D29" s="10">
        <v>21817.233000000004</v>
      </c>
      <c r="E29" s="10">
        <v>0</v>
      </c>
      <c r="F29" s="10">
        <v>0</v>
      </c>
      <c r="G29" s="10">
        <v>48477.504999999997</v>
      </c>
      <c r="H29" s="10">
        <v>28890.542999999998</v>
      </c>
      <c r="I29" s="10">
        <v>334659.12500000006</v>
      </c>
      <c r="J29" s="10">
        <v>17327.940999999995</v>
      </c>
      <c r="K29" s="10">
        <v>14935.985999999999</v>
      </c>
      <c r="L29" s="10">
        <v>2075.4160000000002</v>
      </c>
      <c r="M29" s="10">
        <v>0</v>
      </c>
      <c r="N29" s="11">
        <v>495859.1050000001</v>
      </c>
      <c r="O29" s="11">
        <f>N29+'59a'!G30+'59a'!P30</f>
        <v>1963596.5370000002</v>
      </c>
    </row>
    <row r="30" spans="2:15" s="8" customFormat="1" ht="34.9" customHeight="1">
      <c r="B30" s="5">
        <v>2022</v>
      </c>
      <c r="C30" s="6">
        <v>4626.076</v>
      </c>
      <c r="D30" s="6">
        <v>7317.4739999999993</v>
      </c>
      <c r="E30" s="6">
        <v>0</v>
      </c>
      <c r="F30" s="6">
        <v>0</v>
      </c>
      <c r="G30" s="6">
        <v>46372.248999999996</v>
      </c>
      <c r="H30" s="6">
        <v>3559.1400000000003</v>
      </c>
      <c r="I30" s="6">
        <v>352525.19999999995</v>
      </c>
      <c r="J30" s="6">
        <v>28542.856</v>
      </c>
      <c r="K30" s="6">
        <v>2696.1490000000003</v>
      </c>
      <c r="L30" s="6">
        <v>374.98199999999997</v>
      </c>
      <c r="M30" s="6">
        <v>0</v>
      </c>
      <c r="N30" s="7">
        <v>446014.12599999999</v>
      </c>
      <c r="O30" s="7">
        <f>N30+'59a'!G31+'59a'!P31</f>
        <v>1903706.6099999999</v>
      </c>
    </row>
    <row r="31" spans="2:15" s="8" customFormat="1" ht="34.9" customHeight="1">
      <c r="B31" s="9">
        <v>2023</v>
      </c>
      <c r="C31" s="10">
        <v>19107.657000000003</v>
      </c>
      <c r="D31" s="10">
        <v>10413.478000000001</v>
      </c>
      <c r="E31" s="10">
        <v>0</v>
      </c>
      <c r="F31" s="10">
        <v>0</v>
      </c>
      <c r="G31" s="10">
        <v>42246.680999999997</v>
      </c>
      <c r="H31" s="10">
        <v>8589.7509999999984</v>
      </c>
      <c r="I31" s="10">
        <v>278224.35100000002</v>
      </c>
      <c r="J31" s="10">
        <v>105451.83199999999</v>
      </c>
      <c r="K31" s="10">
        <v>2378.8669999999997</v>
      </c>
      <c r="L31" s="10">
        <v>597.48699999999985</v>
      </c>
      <c r="M31" s="10">
        <v>0</v>
      </c>
      <c r="N31" s="11">
        <v>467010.10399999993</v>
      </c>
      <c r="O31" s="11">
        <v>1456963.6170000001</v>
      </c>
    </row>
    <row r="32" spans="2:15" s="8" customFormat="1" ht="34.9" customHeight="1">
      <c r="B32" s="5">
        <v>2024</v>
      </c>
      <c r="C32" s="6">
        <v>11482.573</v>
      </c>
      <c r="D32" s="6">
        <v>6266.848</v>
      </c>
      <c r="E32" s="6">
        <v>0</v>
      </c>
      <c r="F32" s="6">
        <v>0</v>
      </c>
      <c r="G32" s="6">
        <v>13680.787</v>
      </c>
      <c r="H32" s="6">
        <v>6187.5169999999998</v>
      </c>
      <c r="I32" s="6">
        <v>135523.68</v>
      </c>
      <c r="J32" s="6">
        <v>27189.951000000001</v>
      </c>
      <c r="K32" s="6">
        <v>6950.3450000000003</v>
      </c>
      <c r="L32" s="6">
        <v>552.33199999999999</v>
      </c>
      <c r="M32" s="6">
        <v>0</v>
      </c>
      <c r="N32" s="7">
        <v>207834.03400000001</v>
      </c>
      <c r="O32" s="7">
        <v>1199225.429</v>
      </c>
    </row>
    <row r="33" spans="2:15" s="8" customFormat="1" ht="34.9" customHeight="1">
      <c r="B33" s="9">
        <v>2025</v>
      </c>
      <c r="C33" s="10">
        <v>11087.308999999999</v>
      </c>
      <c r="D33" s="10">
        <v>7133.3660000000009</v>
      </c>
      <c r="E33" s="10">
        <v>0</v>
      </c>
      <c r="F33" s="10">
        <v>0</v>
      </c>
      <c r="G33" s="10">
        <v>7609.0560000000005</v>
      </c>
      <c r="H33" s="10">
        <v>710.2059999999999</v>
      </c>
      <c r="I33" s="10">
        <v>447068.44500000001</v>
      </c>
      <c r="J33" s="10">
        <v>23806.92</v>
      </c>
      <c r="K33" s="10">
        <v>60248.870999999999</v>
      </c>
      <c r="L33" s="10">
        <v>1233.1120000000001</v>
      </c>
      <c r="M33" s="10">
        <v>0</v>
      </c>
      <c r="N33" s="11">
        <v>558897.28500000003</v>
      </c>
      <c r="O33" s="11">
        <v>2165308.4669999997</v>
      </c>
    </row>
    <row r="34" spans="2:15" s="8" customFormat="1" ht="34.9" hidden="1" customHeight="1">
      <c r="B34" s="3">
        <v>2006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3"/>
    </row>
    <row r="35" spans="2:15" s="8" customFormat="1" ht="34.9" hidden="1" customHeight="1">
      <c r="B35" s="14">
        <v>38899</v>
      </c>
      <c r="C35" s="6">
        <v>1241.4000000000001</v>
      </c>
      <c r="D35" s="6">
        <v>5931.2</v>
      </c>
      <c r="E35" s="6">
        <v>2729</v>
      </c>
      <c r="F35" s="6">
        <v>397.5</v>
      </c>
      <c r="G35" s="6">
        <v>4826</v>
      </c>
      <c r="H35" s="6">
        <v>2573.4</v>
      </c>
      <c r="I35" s="6">
        <v>11628.2</v>
      </c>
      <c r="J35" s="6">
        <v>10850.2</v>
      </c>
      <c r="K35" s="6">
        <v>44789.7</v>
      </c>
      <c r="L35" s="6">
        <v>10369.9</v>
      </c>
      <c r="M35" s="6">
        <v>254.7</v>
      </c>
      <c r="N35" s="7">
        <v>95591.2</v>
      </c>
      <c r="O35" s="7">
        <v>903209.89999999991</v>
      </c>
    </row>
    <row r="36" spans="2:15" s="8" customFormat="1" ht="34.9" hidden="1" customHeight="1">
      <c r="B36" s="15">
        <v>38930</v>
      </c>
      <c r="C36" s="10">
        <v>1587.7</v>
      </c>
      <c r="D36" s="10">
        <v>20938.900000000001</v>
      </c>
      <c r="E36" s="10">
        <v>3938.6</v>
      </c>
      <c r="F36" s="10">
        <v>560.6</v>
      </c>
      <c r="G36" s="10">
        <v>11547</v>
      </c>
      <c r="H36" s="10">
        <v>1224.0999999999999</v>
      </c>
      <c r="I36" s="10">
        <v>30994.400000000001</v>
      </c>
      <c r="J36" s="10">
        <v>15102.3</v>
      </c>
      <c r="K36" s="10">
        <v>111919.8</v>
      </c>
      <c r="L36" s="10">
        <v>24856.9</v>
      </c>
      <c r="M36" s="10">
        <v>2074.8000000000002</v>
      </c>
      <c r="N36" s="11">
        <v>224745.1</v>
      </c>
      <c r="O36" s="11">
        <v>1771830.7000000002</v>
      </c>
    </row>
    <row r="37" spans="2:15" s="8" customFormat="1" ht="34.9" hidden="1" customHeight="1">
      <c r="B37" s="14">
        <v>38961</v>
      </c>
      <c r="C37" s="6">
        <v>2165.6</v>
      </c>
      <c r="D37" s="6">
        <v>29119.3</v>
      </c>
      <c r="E37" s="6">
        <v>872.5</v>
      </c>
      <c r="F37" s="6">
        <v>2636.5</v>
      </c>
      <c r="G37" s="6">
        <v>14226.8</v>
      </c>
      <c r="H37" s="6">
        <v>3588.4</v>
      </c>
      <c r="I37" s="6">
        <v>30521.9</v>
      </c>
      <c r="J37" s="6">
        <v>25285.1</v>
      </c>
      <c r="K37" s="6">
        <v>48636.3</v>
      </c>
      <c r="L37" s="6">
        <v>14569.7</v>
      </c>
      <c r="M37" s="6">
        <v>5566.2</v>
      </c>
      <c r="N37" s="7">
        <v>177188.30000000005</v>
      </c>
      <c r="O37" s="7">
        <v>1189354.2</v>
      </c>
    </row>
    <row r="38" spans="2:15" s="8" customFormat="1" ht="34.9" hidden="1" customHeight="1">
      <c r="B38" s="15">
        <v>38991</v>
      </c>
      <c r="C38" s="10">
        <v>910</v>
      </c>
      <c r="D38" s="10">
        <v>17222.599999999999</v>
      </c>
      <c r="E38" s="10">
        <v>551.70000000000005</v>
      </c>
      <c r="F38" s="10">
        <v>1407.1</v>
      </c>
      <c r="G38" s="10">
        <v>17092.900000000001</v>
      </c>
      <c r="H38" s="10">
        <v>899.2</v>
      </c>
      <c r="I38" s="10">
        <v>15600</v>
      </c>
      <c r="J38" s="10">
        <v>15422.6</v>
      </c>
      <c r="K38" s="10">
        <v>27620.7</v>
      </c>
      <c r="L38" s="10">
        <v>6285.4</v>
      </c>
      <c r="M38" s="10">
        <v>1340.2</v>
      </c>
      <c r="N38" s="11">
        <v>104352.4</v>
      </c>
      <c r="O38" s="11">
        <v>841235.7</v>
      </c>
    </row>
    <row r="39" spans="2:15" s="8" customFormat="1" ht="34.9" hidden="1" customHeight="1">
      <c r="B39" s="14">
        <v>39022</v>
      </c>
      <c r="C39" s="6">
        <v>1158.8</v>
      </c>
      <c r="D39" s="6">
        <v>9149.7999999999993</v>
      </c>
      <c r="E39" s="6">
        <v>206.9</v>
      </c>
      <c r="F39" s="6">
        <v>570.20000000000005</v>
      </c>
      <c r="G39" s="6">
        <v>23019.3</v>
      </c>
      <c r="H39" s="6">
        <v>12149.4</v>
      </c>
      <c r="I39" s="6">
        <v>11670.7</v>
      </c>
      <c r="J39" s="6">
        <v>8255.2000000000007</v>
      </c>
      <c r="K39" s="6">
        <v>29951.9</v>
      </c>
      <c r="L39" s="6">
        <v>5083.8</v>
      </c>
      <c r="M39" s="6">
        <v>631.4</v>
      </c>
      <c r="N39" s="7">
        <v>101847.40000000001</v>
      </c>
      <c r="O39" s="7">
        <v>853221.8</v>
      </c>
    </row>
    <row r="40" spans="2:15" s="8" customFormat="1" ht="34.9" hidden="1" customHeight="1">
      <c r="B40" s="15">
        <v>39052</v>
      </c>
      <c r="C40" s="10">
        <v>4348.3</v>
      </c>
      <c r="D40" s="10">
        <v>4231.2</v>
      </c>
      <c r="E40" s="10">
        <v>860.6</v>
      </c>
      <c r="F40" s="10">
        <v>240.1</v>
      </c>
      <c r="G40" s="10">
        <v>6842.4</v>
      </c>
      <c r="H40" s="10">
        <v>2294.5</v>
      </c>
      <c r="I40" s="10">
        <v>10397.9</v>
      </c>
      <c r="J40" s="10">
        <v>17658</v>
      </c>
      <c r="K40" s="10">
        <v>22656.799999999999</v>
      </c>
      <c r="L40" s="10">
        <v>5141</v>
      </c>
      <c r="M40" s="10">
        <v>724.4</v>
      </c>
      <c r="N40" s="11">
        <v>75395.199999999997</v>
      </c>
      <c r="O40" s="11">
        <v>665267.6</v>
      </c>
    </row>
    <row r="41" spans="2:15" s="8" customFormat="1" ht="34.9" hidden="1" customHeight="1">
      <c r="B41" s="3">
        <v>2007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</row>
    <row r="42" spans="2:15" s="8" customFormat="1" ht="34.9" hidden="1" customHeight="1">
      <c r="B42" s="14">
        <v>39083</v>
      </c>
      <c r="C42" s="6">
        <v>15719.6</v>
      </c>
      <c r="D42" s="6">
        <v>7907.4</v>
      </c>
      <c r="E42" s="6">
        <v>487.1</v>
      </c>
      <c r="F42" s="6">
        <v>583.79999999999995</v>
      </c>
      <c r="G42" s="6">
        <v>10226.9</v>
      </c>
      <c r="H42" s="6">
        <v>1398.3</v>
      </c>
      <c r="I42" s="6">
        <v>16304</v>
      </c>
      <c r="J42" s="6">
        <v>10225.1</v>
      </c>
      <c r="K42" s="6">
        <v>38125.1</v>
      </c>
      <c r="L42" s="6">
        <v>10439.799999999999</v>
      </c>
      <c r="M42" s="6">
        <v>1216.0999999999999</v>
      </c>
      <c r="N42" s="7">
        <f t="shared" ref="N42:N53" si="0">SUM(C42:M42)</f>
        <v>112633.2</v>
      </c>
      <c r="O42" s="7">
        <f>N42+'59a'!P43+'59a'!G43</f>
        <v>832990.89999999991</v>
      </c>
    </row>
    <row r="43" spans="2:15" s="8" customFormat="1" ht="34.9" hidden="1" customHeight="1">
      <c r="B43" s="15">
        <v>39114</v>
      </c>
      <c r="C43" s="10">
        <v>33599.300000000003</v>
      </c>
      <c r="D43" s="10">
        <v>14007.3</v>
      </c>
      <c r="E43" s="10">
        <v>316.8</v>
      </c>
      <c r="F43" s="10">
        <v>507.1</v>
      </c>
      <c r="G43" s="10">
        <v>6464.3</v>
      </c>
      <c r="H43" s="10">
        <v>9604.6</v>
      </c>
      <c r="I43" s="10">
        <v>29420.7</v>
      </c>
      <c r="J43" s="10">
        <v>10363.299999999999</v>
      </c>
      <c r="K43" s="10">
        <v>79158.8</v>
      </c>
      <c r="L43" s="10">
        <v>9219.2000000000007</v>
      </c>
      <c r="M43" s="10">
        <v>1242.9000000000001</v>
      </c>
      <c r="N43" s="11">
        <f t="shared" si="0"/>
        <v>193904.30000000002</v>
      </c>
      <c r="O43" s="11">
        <f>N43+'59a'!P44+'59a'!G44</f>
        <v>1536874</v>
      </c>
    </row>
    <row r="44" spans="2:15" s="8" customFormat="1" ht="34.9" hidden="1" customHeight="1">
      <c r="B44" s="14">
        <v>39142</v>
      </c>
      <c r="C44" s="6">
        <v>2154.3000000000002</v>
      </c>
      <c r="D44" s="6">
        <v>12532.7</v>
      </c>
      <c r="E44" s="6">
        <v>329.6</v>
      </c>
      <c r="F44" s="6">
        <v>106</v>
      </c>
      <c r="G44" s="6">
        <v>8553.7999999999993</v>
      </c>
      <c r="H44" s="6">
        <v>11308.5</v>
      </c>
      <c r="I44" s="6">
        <v>34032.400000000001</v>
      </c>
      <c r="J44" s="6">
        <v>28439.200000000001</v>
      </c>
      <c r="K44" s="6">
        <v>66861.2</v>
      </c>
      <c r="L44" s="6">
        <v>3822.6</v>
      </c>
      <c r="M44" s="6">
        <v>803</v>
      </c>
      <c r="N44" s="7">
        <f t="shared" si="0"/>
        <v>168943.30000000002</v>
      </c>
      <c r="O44" s="7">
        <f>N44+'59a'!P45+'59a'!G45</f>
        <v>1155767.3999999999</v>
      </c>
    </row>
    <row r="45" spans="2:15" s="8" customFormat="1" ht="34.9" hidden="1" customHeight="1">
      <c r="B45" s="15">
        <v>39173</v>
      </c>
      <c r="C45" s="10">
        <v>3656.9</v>
      </c>
      <c r="D45" s="10">
        <v>18918.099999999999</v>
      </c>
      <c r="E45" s="10">
        <v>1100.0999999999999</v>
      </c>
      <c r="F45" s="10">
        <v>9.9</v>
      </c>
      <c r="G45" s="10">
        <v>3252</v>
      </c>
      <c r="H45" s="10">
        <v>1039.5</v>
      </c>
      <c r="I45" s="10">
        <v>28594.2</v>
      </c>
      <c r="J45" s="10">
        <v>11309.9</v>
      </c>
      <c r="K45" s="10">
        <v>36880.800000000003</v>
      </c>
      <c r="L45" s="10">
        <v>12486</v>
      </c>
      <c r="M45" s="10">
        <v>721.2</v>
      </c>
      <c r="N45" s="11">
        <f t="shared" si="0"/>
        <v>117968.59999999999</v>
      </c>
      <c r="O45" s="11">
        <f>N45+'59a'!P46+'59a'!G46</f>
        <v>758039.3</v>
      </c>
    </row>
    <row r="46" spans="2:15" s="8" customFormat="1" ht="34.9" hidden="1" customHeight="1">
      <c r="B46" s="14">
        <v>39203</v>
      </c>
      <c r="C46" s="6">
        <v>1463.9</v>
      </c>
      <c r="D46" s="6">
        <v>21781.5</v>
      </c>
      <c r="E46" s="6">
        <v>663.5</v>
      </c>
      <c r="F46" s="6">
        <v>11.8</v>
      </c>
      <c r="G46" s="6">
        <v>12645.3</v>
      </c>
      <c r="H46" s="6">
        <v>1881.4</v>
      </c>
      <c r="I46" s="6">
        <v>15985.4</v>
      </c>
      <c r="J46" s="6">
        <v>9122.7999999999993</v>
      </c>
      <c r="K46" s="6">
        <v>81819</v>
      </c>
      <c r="L46" s="6">
        <v>12198.4</v>
      </c>
      <c r="M46" s="6">
        <v>4115.7</v>
      </c>
      <c r="N46" s="7">
        <f t="shared" si="0"/>
        <v>161688.70000000001</v>
      </c>
      <c r="O46" s="7">
        <f>N46+'59a'!P47+'59a'!G47</f>
        <v>842790.2</v>
      </c>
    </row>
    <row r="47" spans="2:15" s="8" customFormat="1" ht="34.9" hidden="1" customHeight="1">
      <c r="B47" s="15">
        <v>39234</v>
      </c>
      <c r="C47" s="10">
        <v>7458.9</v>
      </c>
      <c r="D47" s="10">
        <v>17906.8</v>
      </c>
      <c r="E47" s="10">
        <v>536.5</v>
      </c>
      <c r="F47" s="10">
        <v>105.2</v>
      </c>
      <c r="G47" s="10">
        <v>7889</v>
      </c>
      <c r="H47" s="10">
        <v>347.2</v>
      </c>
      <c r="I47" s="10">
        <v>35244.6</v>
      </c>
      <c r="J47" s="10">
        <v>11675.2</v>
      </c>
      <c r="K47" s="10">
        <v>108183.8</v>
      </c>
      <c r="L47" s="10">
        <v>21970.799999999999</v>
      </c>
      <c r="M47" s="10">
        <v>1465</v>
      </c>
      <c r="N47" s="11">
        <f t="shared" si="0"/>
        <v>212782.99999999997</v>
      </c>
      <c r="O47" s="11">
        <f>N47+'59a'!P48+'59a'!G48</f>
        <v>1014375.3</v>
      </c>
    </row>
    <row r="48" spans="2:15" s="8" customFormat="1" ht="34.9" hidden="1" customHeight="1">
      <c r="B48" s="14">
        <v>39264</v>
      </c>
      <c r="C48" s="6">
        <v>1722.1</v>
      </c>
      <c r="D48" s="6">
        <v>32264.799999999999</v>
      </c>
      <c r="E48" s="6">
        <v>1358.2</v>
      </c>
      <c r="F48" s="6">
        <v>1280.8</v>
      </c>
      <c r="G48" s="6">
        <v>15860.8</v>
      </c>
      <c r="H48" s="6">
        <v>512.9</v>
      </c>
      <c r="I48" s="6">
        <f>17005.1+230</f>
        <v>17235.099999999999</v>
      </c>
      <c r="J48" s="6">
        <f>12547.1+2058.2</f>
        <v>14605.3</v>
      </c>
      <c r="K48" s="6">
        <v>43855.9</v>
      </c>
      <c r="L48" s="6">
        <f>17547.7+565.5</f>
        <v>18113.2</v>
      </c>
      <c r="M48" s="6">
        <v>547.5</v>
      </c>
      <c r="N48" s="7">
        <f t="shared" si="0"/>
        <v>147356.6</v>
      </c>
      <c r="O48" s="7">
        <f>N48+'59a'!P49+'59a'!G49</f>
        <v>1211787.2</v>
      </c>
    </row>
    <row r="49" spans="2:15" s="8" customFormat="1" ht="34.9" hidden="1" customHeight="1">
      <c r="B49" s="15">
        <v>39295</v>
      </c>
      <c r="C49" s="10">
        <v>1343.3</v>
      </c>
      <c r="D49" s="10">
        <v>26262</v>
      </c>
      <c r="E49" s="10">
        <v>7264.6</v>
      </c>
      <c r="F49" s="10">
        <v>1103.0999999999999</v>
      </c>
      <c r="G49" s="10">
        <f>7357.7+513</f>
        <v>7870.7</v>
      </c>
      <c r="H49" s="10">
        <v>420.2</v>
      </c>
      <c r="I49" s="10">
        <f>8785+1270.6</f>
        <v>10055.6</v>
      </c>
      <c r="J49" s="10">
        <f>398.1+12592</f>
        <v>12990.1</v>
      </c>
      <c r="K49" s="10">
        <v>87378.5</v>
      </c>
      <c r="L49" s="10">
        <v>11681.7</v>
      </c>
      <c r="M49" s="10">
        <v>959.3</v>
      </c>
      <c r="N49" s="11">
        <f t="shared" si="0"/>
        <v>167329.09999999998</v>
      </c>
      <c r="O49" s="11">
        <f>N49+'59a'!P50+'59a'!G50</f>
        <v>734980.5</v>
      </c>
    </row>
    <row r="50" spans="2:15" s="8" customFormat="1" ht="34.9" hidden="1" customHeight="1">
      <c r="B50" s="14">
        <v>39326</v>
      </c>
      <c r="C50" s="6">
        <v>1527.2</v>
      </c>
      <c r="D50" s="6">
        <v>10413.299999999999</v>
      </c>
      <c r="E50" s="6">
        <v>11307.5</v>
      </c>
      <c r="F50" s="6">
        <v>726.4</v>
      </c>
      <c r="G50" s="6">
        <v>4820.6000000000004</v>
      </c>
      <c r="H50" s="6">
        <v>989.8</v>
      </c>
      <c r="I50" s="6">
        <v>8353.6</v>
      </c>
      <c r="J50" s="6">
        <f>16307.2+212.4</f>
        <v>16519.600000000002</v>
      </c>
      <c r="K50" s="6">
        <f>16472.4+2454.9</f>
        <v>18927.300000000003</v>
      </c>
      <c r="L50" s="6">
        <f>430+28934.3</f>
        <v>29364.3</v>
      </c>
      <c r="M50" s="6">
        <v>3629.7</v>
      </c>
      <c r="N50" s="7">
        <f t="shared" si="0"/>
        <v>106579.3</v>
      </c>
      <c r="O50" s="7">
        <f>N50+'59a'!P51+'59a'!G51</f>
        <v>908622.4</v>
      </c>
    </row>
    <row r="51" spans="2:15" s="8" customFormat="1" ht="34.9" hidden="1" customHeight="1">
      <c r="B51" s="15">
        <v>39356</v>
      </c>
      <c r="C51" s="10">
        <v>2392.6999999999998</v>
      </c>
      <c r="D51" s="10">
        <f>27974.5+618+200+370+250+300+450</f>
        <v>30162.5</v>
      </c>
      <c r="E51" s="10">
        <v>8014.9</v>
      </c>
      <c r="F51" s="10">
        <v>1390.6</v>
      </c>
      <c r="G51" s="10">
        <v>3962.9</v>
      </c>
      <c r="H51" s="10">
        <v>1473.2</v>
      </c>
      <c r="I51" s="10">
        <v>34112.1</v>
      </c>
      <c r="J51" s="10">
        <v>18237.8</v>
      </c>
      <c r="K51" s="10">
        <f>42497.5+542+769.6+1161.3+486.7+542.4+211.4</f>
        <v>46210.9</v>
      </c>
      <c r="L51" s="10">
        <f>18134.8+221</f>
        <v>18355.8</v>
      </c>
      <c r="M51" s="10">
        <v>2713.8</v>
      </c>
      <c r="N51" s="11">
        <f t="shared" si="0"/>
        <v>167027.19999999998</v>
      </c>
      <c r="O51" s="11">
        <f>N51+'59a'!P52+'59a'!G52</f>
        <v>1268417.8999999999</v>
      </c>
    </row>
    <row r="52" spans="2:15" s="8" customFormat="1" ht="34.9" hidden="1" customHeight="1">
      <c r="B52" s="14">
        <v>39387</v>
      </c>
      <c r="C52" s="6">
        <v>1653.8</v>
      </c>
      <c r="D52" s="6">
        <f>48892.2+458.4+660+420+300</f>
        <v>50730.6</v>
      </c>
      <c r="E52" s="6">
        <v>7010.6</v>
      </c>
      <c r="F52" s="6">
        <f>767.6+200+1300+1916.8</f>
        <v>4184.3999999999996</v>
      </c>
      <c r="G52" s="6">
        <v>3627.6</v>
      </c>
      <c r="H52" s="6">
        <v>1587.2</v>
      </c>
      <c r="I52" s="6">
        <v>38004.6</v>
      </c>
      <c r="J52" s="6">
        <v>30983.4</v>
      </c>
      <c r="K52" s="6">
        <f>20915.7+700+1450+875+875+1651.2</f>
        <v>26466.9</v>
      </c>
      <c r="L52" s="6">
        <v>25059.1</v>
      </c>
      <c r="M52" s="6">
        <v>2477.8000000000002</v>
      </c>
      <c r="N52" s="7">
        <f t="shared" si="0"/>
        <v>191785.99999999997</v>
      </c>
      <c r="O52" s="7">
        <f>N52+'59a'!P53+'59a'!G53</f>
        <v>1156564.8999999999</v>
      </c>
    </row>
    <row r="53" spans="2:15" s="8" customFormat="1" ht="34.9" hidden="1" customHeight="1">
      <c r="B53" s="15">
        <v>39417</v>
      </c>
      <c r="C53" s="10">
        <v>3009.7</v>
      </c>
      <c r="D53" s="10">
        <v>18949.5</v>
      </c>
      <c r="E53" s="10">
        <v>4292.3999999999996</v>
      </c>
      <c r="F53" s="10">
        <v>111.8</v>
      </c>
      <c r="G53" s="10">
        <v>2120.8000000000002</v>
      </c>
      <c r="H53" s="10">
        <v>1713.5</v>
      </c>
      <c r="I53" s="10">
        <v>67181.7</v>
      </c>
      <c r="J53" s="10">
        <v>12285</v>
      </c>
      <c r="K53" s="10">
        <v>24703.599999999999</v>
      </c>
      <c r="L53" s="10">
        <v>26854.1</v>
      </c>
      <c r="M53" s="10">
        <v>1653.5</v>
      </c>
      <c r="N53" s="11">
        <f t="shared" si="0"/>
        <v>162875.6</v>
      </c>
      <c r="O53" s="11">
        <f>N53+'59a'!P54+'59a'!G54</f>
        <v>926892.10000000009</v>
      </c>
    </row>
    <row r="54" spans="2:15" s="8" customFormat="1" ht="34.9" hidden="1" customHeight="1">
      <c r="B54" s="3">
        <v>2008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</row>
    <row r="55" spans="2:15" s="8" customFormat="1" ht="34.9" hidden="1" customHeight="1">
      <c r="B55" s="14">
        <v>39448</v>
      </c>
      <c r="C55" s="6">
        <v>3162.6</v>
      </c>
      <c r="D55" s="6">
        <f>13683.9+1023</f>
        <v>14706.9</v>
      </c>
      <c r="E55" s="6">
        <v>3274.8</v>
      </c>
      <c r="F55" s="6">
        <v>66.900000000000006</v>
      </c>
      <c r="G55" s="6">
        <v>2267.6</v>
      </c>
      <c r="H55" s="6">
        <v>984.6</v>
      </c>
      <c r="I55" s="6">
        <v>121866.5</v>
      </c>
      <c r="J55" s="6">
        <f>10538.3+618.9+330.2+330.1</f>
        <v>11817.5</v>
      </c>
      <c r="K55" s="6">
        <f>39065.4+617.1+575+1200</f>
        <v>41457.5</v>
      </c>
      <c r="L55" s="6">
        <f>10832.1+579</f>
        <v>11411.1</v>
      </c>
      <c r="M55" s="6">
        <v>1500.8</v>
      </c>
      <c r="N55" s="7">
        <f t="shared" ref="N55:N66" si="1">SUM(C55:M55)</f>
        <v>212516.8</v>
      </c>
      <c r="O55" s="7">
        <f>N55+'59a'!P56+'59a'!G56</f>
        <v>1407364.1</v>
      </c>
    </row>
    <row r="56" spans="2:15" s="8" customFormat="1" ht="34.9" hidden="1" customHeight="1">
      <c r="B56" s="15">
        <v>39479</v>
      </c>
      <c r="C56" s="10">
        <v>1674.2</v>
      </c>
      <c r="D56" s="10">
        <v>15697.2</v>
      </c>
      <c r="E56" s="10">
        <v>5622.9</v>
      </c>
      <c r="F56" s="10">
        <v>1207.9000000000001</v>
      </c>
      <c r="G56" s="10">
        <v>37808.199999999997</v>
      </c>
      <c r="H56" s="10">
        <v>11136.5</v>
      </c>
      <c r="I56" s="10">
        <v>146023.70000000001</v>
      </c>
      <c r="J56" s="10">
        <v>24687.599999999999</v>
      </c>
      <c r="K56" s="10">
        <v>38975.5</v>
      </c>
      <c r="L56" s="10">
        <v>11701</v>
      </c>
      <c r="M56" s="10">
        <v>770</v>
      </c>
      <c r="N56" s="11">
        <f t="shared" si="1"/>
        <v>295304.7</v>
      </c>
      <c r="O56" s="11">
        <f>N56+'59a'!P57+'59a'!G57</f>
        <v>1269352.8999999999</v>
      </c>
    </row>
    <row r="57" spans="2:15" s="8" customFormat="1" ht="34.9" hidden="1" customHeight="1">
      <c r="B57" s="14">
        <v>39508</v>
      </c>
      <c r="C57" s="6">
        <v>1247.8</v>
      </c>
      <c r="D57" s="6">
        <v>14742.8</v>
      </c>
      <c r="E57" s="6">
        <v>5.5</v>
      </c>
      <c r="F57" s="6">
        <v>610</v>
      </c>
      <c r="G57" s="6">
        <f>8545.7+240</f>
        <v>8785.7000000000007</v>
      </c>
      <c r="H57" s="6">
        <v>857.6</v>
      </c>
      <c r="I57" s="6">
        <v>367819.8</v>
      </c>
      <c r="J57" s="6">
        <v>8306.5</v>
      </c>
      <c r="K57" s="6">
        <f>29270.3+744+370.5+372+249</f>
        <v>31005.8</v>
      </c>
      <c r="L57" s="6">
        <f>6870.6+203.2+203.2+211.1</f>
        <v>7488.1</v>
      </c>
      <c r="M57" s="6">
        <v>380.7</v>
      </c>
      <c r="N57" s="7">
        <f t="shared" si="1"/>
        <v>441250.3</v>
      </c>
      <c r="O57" s="7">
        <f>N57+'59a'!P58+'59a'!G58</f>
        <v>1981241.3</v>
      </c>
    </row>
    <row r="58" spans="2:15" s="8" customFormat="1" ht="34.9" hidden="1" customHeight="1">
      <c r="B58" s="15">
        <v>39539</v>
      </c>
      <c r="C58" s="10">
        <v>1404.6</v>
      </c>
      <c r="D58" s="10">
        <v>13517.1</v>
      </c>
      <c r="E58" s="10">
        <v>7612.1</v>
      </c>
      <c r="F58" s="10">
        <v>499</v>
      </c>
      <c r="G58" s="10">
        <v>3975.3</v>
      </c>
      <c r="H58" s="10">
        <v>559.79999999999995</v>
      </c>
      <c r="I58" s="10">
        <f>406027.7+242+682.4</f>
        <v>406952.10000000003</v>
      </c>
      <c r="J58" s="10">
        <v>7604.2</v>
      </c>
      <c r="K58" s="10">
        <v>38228.5</v>
      </c>
      <c r="L58" s="10">
        <v>3319.7</v>
      </c>
      <c r="M58" s="10">
        <v>696.5</v>
      </c>
      <c r="N58" s="11">
        <f t="shared" si="1"/>
        <v>484368.90000000008</v>
      </c>
      <c r="O58" s="11">
        <f>N58+'59a'!P59+'59a'!G59</f>
        <v>2046666.6</v>
      </c>
    </row>
    <row r="59" spans="2:15" s="8" customFormat="1" ht="34.9" hidden="1" customHeight="1">
      <c r="B59" s="14">
        <v>39569</v>
      </c>
      <c r="C59" s="6">
        <v>1611.681</v>
      </c>
      <c r="D59" s="6">
        <f>18842.868+435</f>
        <v>19277.867999999999</v>
      </c>
      <c r="E59" s="6">
        <v>4427.0519999999997</v>
      </c>
      <c r="F59" s="6">
        <v>118.06399999999999</v>
      </c>
      <c r="G59" s="6">
        <v>8860.5010000000002</v>
      </c>
      <c r="H59" s="6">
        <v>1184.268</v>
      </c>
      <c r="I59" s="6">
        <f>366512.004+674.4</f>
        <v>367186.40400000004</v>
      </c>
      <c r="J59" s="6">
        <v>8726.8960000000006</v>
      </c>
      <c r="K59" s="6">
        <f>26662.958+580.8+387.2+8856+6065.445+8400+13008+430.5+525.285+1419+1902.982+1222.432+451.5+1290+2089.8+645+532+565.5</f>
        <v>75034.402000000002</v>
      </c>
      <c r="L59" s="6">
        <v>3723.163</v>
      </c>
      <c r="M59" s="6">
        <v>490.50299999999999</v>
      </c>
      <c r="N59" s="7">
        <f t="shared" si="1"/>
        <v>490640.80200000008</v>
      </c>
      <c r="O59" s="7">
        <f>N59+'59a'!P60+'59a'!G60</f>
        <v>2063237.0930000001</v>
      </c>
    </row>
    <row r="60" spans="2:15" s="8" customFormat="1" ht="34.9" hidden="1" customHeight="1">
      <c r="B60" s="15">
        <v>39600</v>
      </c>
      <c r="C60" s="10">
        <v>3534.1</v>
      </c>
      <c r="D60" s="10">
        <v>40793.199999999997</v>
      </c>
      <c r="E60" s="10">
        <v>2372</v>
      </c>
      <c r="F60" s="10">
        <v>242.1</v>
      </c>
      <c r="G60" s="10">
        <v>13964.4</v>
      </c>
      <c r="H60" s="10">
        <v>6131.8</v>
      </c>
      <c r="I60" s="10">
        <v>688102.2</v>
      </c>
      <c r="J60" s="10">
        <v>31305</v>
      </c>
      <c r="K60" s="10">
        <v>110465.4</v>
      </c>
      <c r="L60" s="10">
        <v>2807.5</v>
      </c>
      <c r="M60" s="10">
        <v>1410.7</v>
      </c>
      <c r="N60" s="11">
        <f t="shared" si="1"/>
        <v>901128.39999999991</v>
      </c>
      <c r="O60" s="11">
        <f>N60+'59a'!P61+'59a'!G61</f>
        <v>3525115</v>
      </c>
    </row>
    <row r="61" spans="2:15" s="8" customFormat="1" ht="34.9" hidden="1" customHeight="1">
      <c r="B61" s="14">
        <v>39630</v>
      </c>
      <c r="C61" s="6">
        <v>2717.4</v>
      </c>
      <c r="D61" s="6">
        <v>58556.4</v>
      </c>
      <c r="E61" s="6">
        <v>3889.4</v>
      </c>
      <c r="F61" s="6">
        <v>547.79999999999995</v>
      </c>
      <c r="G61" s="6">
        <v>10511.9</v>
      </c>
      <c r="H61" s="6">
        <v>724.1</v>
      </c>
      <c r="I61" s="6">
        <v>661816.19999999995</v>
      </c>
      <c r="J61" s="6">
        <v>13551.5</v>
      </c>
      <c r="K61" s="6">
        <v>25514.9</v>
      </c>
      <c r="L61" s="6">
        <v>18701.3</v>
      </c>
      <c r="M61" s="6">
        <v>511.5</v>
      </c>
      <c r="N61" s="7">
        <f t="shared" si="1"/>
        <v>797042.4</v>
      </c>
      <c r="O61" s="7">
        <f>N61+'59a'!P62+'59a'!G62</f>
        <v>2779394.4000000004</v>
      </c>
    </row>
    <row r="62" spans="2:15" s="8" customFormat="1" ht="34.9" hidden="1" customHeight="1">
      <c r="B62" s="15">
        <v>39661</v>
      </c>
      <c r="C62" s="10">
        <v>618.53099999999995</v>
      </c>
      <c r="D62" s="10">
        <f>39919.488+121.994</f>
        <v>40041.481999999996</v>
      </c>
      <c r="E62" s="10">
        <v>1121.9280000000001</v>
      </c>
      <c r="F62" s="10">
        <v>594.04399999999998</v>
      </c>
      <c r="G62" s="10">
        <v>3140.4160000000002</v>
      </c>
      <c r="H62" s="10">
        <v>269.32400000000001</v>
      </c>
      <c r="I62" s="10">
        <f>412804.671+503.44</f>
        <v>413308.11099999998</v>
      </c>
      <c r="J62" s="10">
        <v>4201.0540000000001</v>
      </c>
      <c r="K62" s="10">
        <f>22628.824+648+1393.2</f>
        <v>24670.024000000001</v>
      </c>
      <c r="L62" s="10">
        <v>7162.6790000000001</v>
      </c>
      <c r="M62" s="10">
        <v>254.524</v>
      </c>
      <c r="N62" s="11">
        <f t="shared" si="1"/>
        <v>495382.11699999991</v>
      </c>
      <c r="O62" s="11">
        <f>N62+'59a'!P63+'59a'!G63</f>
        <v>1617109.81</v>
      </c>
    </row>
    <row r="63" spans="2:15" s="8" customFormat="1" ht="34.9" hidden="1" customHeight="1">
      <c r="B63" s="14">
        <v>39692</v>
      </c>
      <c r="C63" s="6">
        <v>742.298</v>
      </c>
      <c r="D63" s="6">
        <v>28262.863000000001</v>
      </c>
      <c r="E63" s="6">
        <v>1245.585</v>
      </c>
      <c r="F63" s="6">
        <v>900.43100000000004</v>
      </c>
      <c r="G63" s="6">
        <v>6969.1239999999998</v>
      </c>
      <c r="H63" s="6">
        <v>336.97899999999998</v>
      </c>
      <c r="I63" s="6">
        <f>471457.587+76662+562.5+23040+3578.715+16905+2634.466</f>
        <v>594840.26800000004</v>
      </c>
      <c r="J63" s="6">
        <v>6005.2190000000001</v>
      </c>
      <c r="K63" s="6">
        <f>12537.385+757.5+1000.5</f>
        <v>14295.385</v>
      </c>
      <c r="L63" s="6">
        <v>1813.6880000000001</v>
      </c>
      <c r="M63" s="6">
        <v>993.4</v>
      </c>
      <c r="N63" s="7">
        <f t="shared" si="1"/>
        <v>656405.24000000011</v>
      </c>
      <c r="O63" s="7">
        <f>N63+'59a'!P64+'59a'!G64</f>
        <v>1391563.21</v>
      </c>
    </row>
    <row r="64" spans="2:15" s="8" customFormat="1" ht="34.9" hidden="1" customHeight="1">
      <c r="B64" s="15">
        <v>39722</v>
      </c>
      <c r="C64" s="10">
        <v>1656.0450000000001</v>
      </c>
      <c r="D64" s="10">
        <f>12770.162+500.03</f>
        <v>13270.192000000001</v>
      </c>
      <c r="E64" s="10">
        <v>483.87599999999998</v>
      </c>
      <c r="F64" s="10">
        <v>70.427000000000007</v>
      </c>
      <c r="G64" s="10">
        <v>2325.7779999999998</v>
      </c>
      <c r="H64" s="10">
        <v>696.12599999999998</v>
      </c>
      <c r="I64" s="10">
        <f>145270.943+27487.158+3908.129+1011.5</f>
        <v>177677.72999999998</v>
      </c>
      <c r="J64" s="10">
        <v>3978.8449999999998</v>
      </c>
      <c r="K64" s="10">
        <f>25549.834+1215</f>
        <v>26764.833999999999</v>
      </c>
      <c r="L64" s="10">
        <v>6007.125</v>
      </c>
      <c r="M64" s="10">
        <v>147.352</v>
      </c>
      <c r="N64" s="11">
        <f t="shared" si="1"/>
        <v>233078.33</v>
      </c>
      <c r="O64" s="11">
        <f>N64+'59a'!P65+'59a'!G65</f>
        <v>876599.33899999992</v>
      </c>
    </row>
    <row r="65" spans="2:15" s="8" customFormat="1" ht="34.9" hidden="1" customHeight="1">
      <c r="B65" s="14">
        <v>39753</v>
      </c>
      <c r="C65" s="6">
        <v>441.12400000000002</v>
      </c>
      <c r="D65" s="6">
        <v>12276.99</v>
      </c>
      <c r="E65" s="6">
        <v>471.22899999999998</v>
      </c>
      <c r="F65" s="6">
        <v>34.883000000000003</v>
      </c>
      <c r="G65" s="6">
        <v>967.78200000000004</v>
      </c>
      <c r="H65" s="6">
        <v>580.35199999999998</v>
      </c>
      <c r="I65" s="6">
        <v>108263.55499999999</v>
      </c>
      <c r="J65" s="6">
        <v>5707.7240000000002</v>
      </c>
      <c r="K65" s="6">
        <f>17409.113+514.8+1170</f>
        <v>19093.913</v>
      </c>
      <c r="L65" s="6">
        <v>8102.9639999999999</v>
      </c>
      <c r="M65" s="6">
        <v>88.444000000000003</v>
      </c>
      <c r="N65" s="7">
        <f t="shared" si="1"/>
        <v>156028.96</v>
      </c>
      <c r="O65" s="7">
        <f>N65+'59a'!P66+'59a'!G66</f>
        <v>862218.67999999993</v>
      </c>
    </row>
    <row r="66" spans="2:15" s="8" customFormat="1" ht="34.9" hidden="1" customHeight="1">
      <c r="B66" s="15">
        <v>39783</v>
      </c>
      <c r="C66" s="10">
        <v>266.2</v>
      </c>
      <c r="D66" s="10">
        <v>4366.7</v>
      </c>
      <c r="E66" s="10">
        <v>208.4</v>
      </c>
      <c r="F66" s="10">
        <v>6.8</v>
      </c>
      <c r="G66" s="10">
        <v>406.2</v>
      </c>
      <c r="H66" s="10">
        <v>1331</v>
      </c>
      <c r="I66" s="10">
        <v>63628.5</v>
      </c>
      <c r="J66" s="10">
        <v>7926.8</v>
      </c>
      <c r="K66" s="10">
        <v>13394.3</v>
      </c>
      <c r="L66" s="10">
        <v>2081.6999999999998</v>
      </c>
      <c r="M66" s="10">
        <v>72.400000000000006</v>
      </c>
      <c r="N66" s="11">
        <f t="shared" si="1"/>
        <v>93689</v>
      </c>
      <c r="O66" s="11">
        <f>N66+'59a'!P67+'59a'!G67</f>
        <v>498152.19999999995</v>
      </c>
    </row>
    <row r="67" spans="2:15" s="8" customFormat="1" ht="34.9" hidden="1" customHeight="1">
      <c r="B67" s="3">
        <v>2009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  <c r="O67" s="13"/>
    </row>
    <row r="68" spans="2:15" s="8" customFormat="1" ht="34.9" hidden="1" customHeight="1">
      <c r="B68" s="14">
        <v>39814</v>
      </c>
      <c r="C68" s="6">
        <v>371.4</v>
      </c>
      <c r="D68" s="6">
        <v>10171.4</v>
      </c>
      <c r="E68" s="6">
        <v>573.20000000000005</v>
      </c>
      <c r="F68" s="6">
        <v>40.200000000000003</v>
      </c>
      <c r="G68" s="6">
        <v>529.79999999999995</v>
      </c>
      <c r="H68" s="6">
        <v>545.5</v>
      </c>
      <c r="I68" s="6">
        <v>56866.400000000001</v>
      </c>
      <c r="J68" s="6">
        <v>12785.5</v>
      </c>
      <c r="K68" s="6">
        <v>12848.2</v>
      </c>
      <c r="L68" s="6">
        <v>1552.4</v>
      </c>
      <c r="M68" s="6">
        <v>111.5</v>
      </c>
      <c r="N68" s="7">
        <f t="shared" ref="N68:N79" si="2">SUM(C68:M68)</f>
        <v>96395.499999999985</v>
      </c>
      <c r="O68" s="7">
        <f>N68+'59a'!P69+'59a'!G69</f>
        <v>600124.5</v>
      </c>
    </row>
    <row r="69" spans="2:15" s="8" customFormat="1" ht="34.9" hidden="1" customHeight="1">
      <c r="B69" s="15">
        <v>39845</v>
      </c>
      <c r="C69" s="10">
        <v>741.47</v>
      </c>
      <c r="D69" s="10">
        <v>25849.200000000001</v>
      </c>
      <c r="E69" s="10">
        <v>3139.23</v>
      </c>
      <c r="F69" s="10">
        <v>22.85</v>
      </c>
      <c r="G69" s="10">
        <v>1172.6199999999999</v>
      </c>
      <c r="H69" s="10">
        <v>840.09</v>
      </c>
      <c r="I69" s="10">
        <v>38589.9</v>
      </c>
      <c r="J69" s="10">
        <v>16907.12</v>
      </c>
      <c r="K69" s="10">
        <v>1416.86</v>
      </c>
      <c r="L69" s="10">
        <v>10684.66</v>
      </c>
      <c r="M69" s="10">
        <v>417.11</v>
      </c>
      <c r="N69" s="11">
        <f t="shared" si="2"/>
        <v>99781.11</v>
      </c>
      <c r="O69" s="11">
        <f>N69+'59a'!P70+'59a'!G70</f>
        <v>979697.62000000011</v>
      </c>
    </row>
    <row r="70" spans="2:15" s="8" customFormat="1" ht="34.9" hidden="1" customHeight="1">
      <c r="B70" s="14">
        <v>39873</v>
      </c>
      <c r="C70" s="6">
        <v>419.43</v>
      </c>
      <c r="D70" s="6">
        <v>29899.7</v>
      </c>
      <c r="E70" s="6">
        <v>1961.3</v>
      </c>
      <c r="F70" s="6">
        <v>26.46</v>
      </c>
      <c r="G70" s="6">
        <v>1933.81</v>
      </c>
      <c r="H70" s="6">
        <v>363.88</v>
      </c>
      <c r="I70" s="6">
        <f>45512.29+3432+1716</f>
        <v>50660.29</v>
      </c>
      <c r="J70" s="6">
        <v>25171.7</v>
      </c>
      <c r="K70" s="6">
        <v>2416.11</v>
      </c>
      <c r="L70" s="6">
        <v>10321.73</v>
      </c>
      <c r="M70" s="6">
        <v>280.27999999999997</v>
      </c>
      <c r="N70" s="7">
        <f t="shared" si="2"/>
        <v>123454.68999999999</v>
      </c>
      <c r="O70" s="7">
        <f>N70+'59a'!P71+'59a'!G71</f>
        <v>1171232.8700000001</v>
      </c>
    </row>
    <row r="71" spans="2:15" s="8" customFormat="1" ht="34.9" hidden="1" customHeight="1">
      <c r="B71" s="15">
        <v>39904</v>
      </c>
      <c r="C71" s="10">
        <v>481.3</v>
      </c>
      <c r="D71" s="10">
        <v>23331.3</v>
      </c>
      <c r="E71" s="10">
        <v>1853.8</v>
      </c>
      <c r="F71" s="10">
        <v>75.7</v>
      </c>
      <c r="G71" s="10">
        <v>1409.4</v>
      </c>
      <c r="H71" s="10">
        <v>929.8</v>
      </c>
      <c r="I71" s="10">
        <f>70695.4+3676+1838</f>
        <v>76209.399999999994</v>
      </c>
      <c r="J71" s="10">
        <v>33704.6</v>
      </c>
      <c r="K71" s="10">
        <v>6285.62</v>
      </c>
      <c r="L71" s="10">
        <v>2684.68</v>
      </c>
      <c r="M71" s="10">
        <v>266.27</v>
      </c>
      <c r="N71" s="11">
        <f t="shared" si="2"/>
        <v>147231.86999999997</v>
      </c>
      <c r="O71" s="11">
        <f>N71+'59a'!P72+'59a'!G72</f>
        <v>1205092.48</v>
      </c>
    </row>
    <row r="72" spans="2:15" s="8" customFormat="1" ht="34.9" hidden="1" customHeight="1">
      <c r="B72" s="14">
        <v>39934</v>
      </c>
      <c r="C72" s="6">
        <v>897.3</v>
      </c>
      <c r="D72" s="6">
        <v>19919.5</v>
      </c>
      <c r="E72" s="6">
        <v>844.3</v>
      </c>
      <c r="F72" s="6">
        <v>32.1</v>
      </c>
      <c r="G72" s="6">
        <v>486.5</v>
      </c>
      <c r="H72" s="6">
        <v>1254.4000000000001</v>
      </c>
      <c r="I72" s="6">
        <v>83289.8</v>
      </c>
      <c r="J72" s="6">
        <v>12952</v>
      </c>
      <c r="K72" s="6">
        <f>3847.7+18.8</f>
        <v>3866.5</v>
      </c>
      <c r="L72" s="6">
        <v>1092.5</v>
      </c>
      <c r="M72" s="6">
        <v>386</v>
      </c>
      <c r="N72" s="7">
        <f t="shared" si="2"/>
        <v>125020.9</v>
      </c>
      <c r="O72" s="7">
        <f>N72+'59a'!P73+'59a'!G73</f>
        <v>1108074.3999999999</v>
      </c>
    </row>
    <row r="73" spans="2:15" s="8" customFormat="1" ht="34.9" hidden="1" customHeight="1">
      <c r="B73" s="15">
        <v>39965</v>
      </c>
      <c r="C73" s="10">
        <f>3013.7</f>
        <v>3013.7</v>
      </c>
      <c r="D73" s="10">
        <v>18919.400000000001</v>
      </c>
      <c r="E73" s="10">
        <v>564.4</v>
      </c>
      <c r="F73" s="10">
        <v>106.8</v>
      </c>
      <c r="G73" s="10">
        <v>729.4</v>
      </c>
      <c r="H73" s="10">
        <v>3565.1</v>
      </c>
      <c r="I73" s="10">
        <f>118431.8</f>
        <v>118431.8</v>
      </c>
      <c r="J73" s="10">
        <f>18091.9+634.5</f>
        <v>18726.400000000001</v>
      </c>
      <c r="K73" s="10">
        <v>5134.2</v>
      </c>
      <c r="L73" s="10">
        <v>4072.5</v>
      </c>
      <c r="M73" s="10">
        <v>4697</v>
      </c>
      <c r="N73" s="11">
        <f t="shared" si="2"/>
        <v>177960.7</v>
      </c>
      <c r="O73" s="11">
        <f>N73+'59a'!P74+'59a'!G74</f>
        <v>962222.83100000001</v>
      </c>
    </row>
    <row r="74" spans="2:15" s="8" customFormat="1" ht="34.9" hidden="1" customHeight="1">
      <c r="B74" s="14">
        <v>39995</v>
      </c>
      <c r="C74" s="6">
        <v>359.9</v>
      </c>
      <c r="D74" s="6">
        <v>6323.3</v>
      </c>
      <c r="E74" s="6">
        <v>458.3</v>
      </c>
      <c r="F74" s="6">
        <v>29.1</v>
      </c>
      <c r="G74" s="6">
        <v>2253.6</v>
      </c>
      <c r="H74" s="6">
        <v>914.2</v>
      </c>
      <c r="I74" s="6">
        <v>66493.399999999994</v>
      </c>
      <c r="J74" s="6">
        <v>6800.8990000000003</v>
      </c>
      <c r="K74" s="6">
        <v>2707.9690000000001</v>
      </c>
      <c r="L74" s="6">
        <v>2630.6</v>
      </c>
      <c r="M74" s="6">
        <v>974.89800000000002</v>
      </c>
      <c r="N74" s="7">
        <f t="shared" si="2"/>
        <v>89946.165999999997</v>
      </c>
      <c r="O74" s="7">
        <f>N74+'59a'!P75+'59a'!G75</f>
        <v>550393.31799999997</v>
      </c>
    </row>
    <row r="75" spans="2:15" s="8" customFormat="1" ht="34.9" hidden="1" customHeight="1">
      <c r="B75" s="15">
        <v>40026</v>
      </c>
      <c r="C75" s="10">
        <v>475.3</v>
      </c>
      <c r="D75" s="10">
        <v>5929</v>
      </c>
      <c r="E75" s="10">
        <v>364.8</v>
      </c>
      <c r="F75" s="10">
        <v>20.5</v>
      </c>
      <c r="G75" s="10">
        <v>14742.5</v>
      </c>
      <c r="H75" s="10">
        <v>246.8</v>
      </c>
      <c r="I75" s="10">
        <v>37372.400000000001</v>
      </c>
      <c r="J75" s="10">
        <v>5501.6</v>
      </c>
      <c r="K75" s="10">
        <v>1530.9</v>
      </c>
      <c r="L75" s="10">
        <v>8632</v>
      </c>
      <c r="M75" s="10">
        <v>7268.7</v>
      </c>
      <c r="N75" s="11">
        <f t="shared" si="2"/>
        <v>82084.5</v>
      </c>
      <c r="O75" s="11">
        <f>N75+'59a'!P76+'59a'!G76</f>
        <v>482419.9</v>
      </c>
    </row>
    <row r="76" spans="2:15" s="8" customFormat="1" ht="34.9" hidden="1" customHeight="1">
      <c r="B76" s="14">
        <v>40057</v>
      </c>
      <c r="C76" s="6">
        <v>266.39999999999998</v>
      </c>
      <c r="D76" s="6">
        <v>6840.3</v>
      </c>
      <c r="E76" s="6">
        <v>1454.5</v>
      </c>
      <c r="F76" s="6">
        <v>47.9</v>
      </c>
      <c r="G76" s="6">
        <v>7542.2</v>
      </c>
      <c r="H76" s="6">
        <v>913.2</v>
      </c>
      <c r="I76" s="6">
        <v>30427.4</v>
      </c>
      <c r="J76" s="6">
        <v>7929.5</v>
      </c>
      <c r="K76" s="6">
        <v>1678.6</v>
      </c>
      <c r="L76" s="6">
        <v>7762.8</v>
      </c>
      <c r="M76" s="6">
        <v>16302.6</v>
      </c>
      <c r="N76" s="7">
        <f t="shared" si="2"/>
        <v>81165.400000000009</v>
      </c>
      <c r="O76" s="7">
        <f>N76+'59a'!P77+'59a'!G77</f>
        <v>728854.2</v>
      </c>
    </row>
    <row r="77" spans="2:15" s="8" customFormat="1" ht="34.9" hidden="1" customHeight="1">
      <c r="B77" s="15">
        <v>40087</v>
      </c>
      <c r="C77" s="10">
        <v>1678.6</v>
      </c>
      <c r="D77" s="10">
        <v>7557.86</v>
      </c>
      <c r="E77" s="10">
        <v>230.5</v>
      </c>
      <c r="F77" s="10">
        <v>14.8</v>
      </c>
      <c r="G77" s="10">
        <v>3144.5</v>
      </c>
      <c r="H77" s="10">
        <v>671.9</v>
      </c>
      <c r="I77" s="10">
        <v>75896.899999999994</v>
      </c>
      <c r="J77" s="10">
        <v>8544.5</v>
      </c>
      <c r="K77" s="10">
        <v>2065.9</v>
      </c>
      <c r="L77" s="10">
        <v>13564.8</v>
      </c>
      <c r="M77" s="10">
        <f>14291.3+684+1482</f>
        <v>16457.3</v>
      </c>
      <c r="N77" s="11">
        <f t="shared" si="2"/>
        <v>129827.56</v>
      </c>
      <c r="O77" s="11">
        <f>N77+'59a'!P78+'59a'!G78</f>
        <v>747940.5</v>
      </c>
    </row>
    <row r="78" spans="2:15" s="8" customFormat="1" ht="34.9" hidden="1" customHeight="1">
      <c r="B78" s="14">
        <v>40118</v>
      </c>
      <c r="C78" s="6">
        <v>330.6</v>
      </c>
      <c r="D78" s="6">
        <v>2845.9</v>
      </c>
      <c r="E78" s="6">
        <v>294.8</v>
      </c>
      <c r="F78" s="6">
        <v>35.5</v>
      </c>
      <c r="G78" s="6">
        <f>5524.4</f>
        <v>5524.4</v>
      </c>
      <c r="H78" s="6">
        <v>675.7</v>
      </c>
      <c r="I78" s="6">
        <v>21797.3</v>
      </c>
      <c r="J78" s="6">
        <v>3325.9</v>
      </c>
      <c r="K78" s="6">
        <v>780.2</v>
      </c>
      <c r="L78" s="6">
        <f>13465.2+501.8</f>
        <v>13967</v>
      </c>
      <c r="M78" s="6">
        <v>9665.6</v>
      </c>
      <c r="N78" s="7">
        <f t="shared" si="2"/>
        <v>59242.899999999994</v>
      </c>
      <c r="O78" s="7">
        <f>N78+'59a'!P79+'59a'!G79</f>
        <v>474207.4</v>
      </c>
    </row>
    <row r="79" spans="2:15" s="8" customFormat="1" ht="34.9" hidden="1" customHeight="1">
      <c r="B79" s="15">
        <v>40148</v>
      </c>
      <c r="C79" s="10">
        <v>776.7</v>
      </c>
      <c r="D79" s="10">
        <v>4513.8</v>
      </c>
      <c r="E79" s="10">
        <v>271.89999999999998</v>
      </c>
      <c r="F79" s="10">
        <v>59.8</v>
      </c>
      <c r="G79" s="10">
        <v>5462.7</v>
      </c>
      <c r="H79" s="10">
        <v>492.5</v>
      </c>
      <c r="I79" s="10">
        <v>31258.400000000001</v>
      </c>
      <c r="J79" s="10">
        <v>3135.1</v>
      </c>
      <c r="K79" s="10">
        <v>5776.3</v>
      </c>
      <c r="L79" s="10">
        <v>17993.2</v>
      </c>
      <c r="M79" s="10">
        <v>7900.8</v>
      </c>
      <c r="N79" s="11">
        <f t="shared" si="2"/>
        <v>77641.200000000012</v>
      </c>
      <c r="O79" s="11">
        <f>N79+'59a'!P80+'59a'!G80</f>
        <v>655050.60000000009</v>
      </c>
    </row>
    <row r="80" spans="2:15" s="8" customFormat="1" ht="34.9" hidden="1" customHeight="1">
      <c r="B80" s="3">
        <v>2010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3"/>
      <c r="O80" s="13"/>
    </row>
    <row r="81" spans="2:15" s="8" customFormat="1" ht="34.9" hidden="1" customHeight="1">
      <c r="B81" s="14">
        <v>40179</v>
      </c>
      <c r="C81" s="6">
        <f>865.8</f>
        <v>865.8</v>
      </c>
      <c r="D81" s="6">
        <f>3018</f>
        <v>3018</v>
      </c>
      <c r="E81" s="6">
        <v>688.6</v>
      </c>
      <c r="F81" s="6">
        <v>92.4</v>
      </c>
      <c r="G81" s="6">
        <f>4240.9</f>
        <v>4240.8999999999996</v>
      </c>
      <c r="H81" s="6">
        <f>273.1</f>
        <v>273.10000000000002</v>
      </c>
      <c r="I81" s="6">
        <f>35165.1</f>
        <v>35165.1</v>
      </c>
      <c r="J81" s="6">
        <f>2755.3</f>
        <v>2755.3</v>
      </c>
      <c r="K81" s="6">
        <f>6072.1+744+544+587.1+565+565+690.2+678+650+650+680+520+540+545.9+501.5+501.8+590</f>
        <v>15624.6</v>
      </c>
      <c r="L81" s="6">
        <v>12881.2</v>
      </c>
      <c r="M81" s="6">
        <f>3016.1</f>
        <v>3016.1</v>
      </c>
      <c r="N81" s="7">
        <f t="shared" ref="N81:N92" si="3">SUM(C81:M81)</f>
        <v>78621.100000000006</v>
      </c>
      <c r="O81" s="7">
        <f>N81+'59a'!P82+'59a'!G82</f>
        <v>591669</v>
      </c>
    </row>
    <row r="82" spans="2:15" s="8" customFormat="1" ht="34.9" hidden="1" customHeight="1">
      <c r="B82" s="15">
        <v>40210</v>
      </c>
      <c r="C82" s="10">
        <v>1028.5999999999999</v>
      </c>
      <c r="D82" s="10">
        <v>1604.5</v>
      </c>
      <c r="E82" s="10">
        <v>193</v>
      </c>
      <c r="F82" s="10">
        <v>39</v>
      </c>
      <c r="G82" s="10">
        <v>4838.2</v>
      </c>
      <c r="H82" s="10">
        <v>441.9</v>
      </c>
      <c r="I82" s="10">
        <v>20419.8</v>
      </c>
      <c r="J82" s="10">
        <v>2483.1999999999998</v>
      </c>
      <c r="K82" s="10">
        <v>15382.1</v>
      </c>
      <c r="L82" s="10">
        <v>3868.7</v>
      </c>
      <c r="M82" s="10">
        <v>1096.3</v>
      </c>
      <c r="N82" s="11">
        <f t="shared" si="3"/>
        <v>51395.3</v>
      </c>
      <c r="O82" s="11">
        <f>N82+'59a'!P83+'59a'!G83</f>
        <v>492942.60000000003</v>
      </c>
    </row>
    <row r="83" spans="2:15" s="8" customFormat="1" ht="34.9" hidden="1" customHeight="1">
      <c r="B83" s="14">
        <v>40238</v>
      </c>
      <c r="C83" s="6">
        <f>1624.1+837+932.3+932.3</f>
        <v>4325.7</v>
      </c>
      <c r="D83" s="6">
        <f>4142.4</f>
        <v>4142.3999999999996</v>
      </c>
      <c r="E83" s="6">
        <f>995.7</f>
        <v>995.7</v>
      </c>
      <c r="F83" s="6">
        <v>152.1</v>
      </c>
      <c r="G83" s="6">
        <f>3384.4</f>
        <v>3384.4</v>
      </c>
      <c r="H83" s="6">
        <f>519.7</f>
        <v>519.70000000000005</v>
      </c>
      <c r="I83" s="6">
        <f>26474.8</f>
        <v>26474.799999999999</v>
      </c>
      <c r="J83" s="6">
        <f>4263.5</f>
        <v>4263.5</v>
      </c>
      <c r="K83" s="6">
        <f>57020.1</f>
        <v>57020.1</v>
      </c>
      <c r="L83" s="6">
        <f>4483.3</f>
        <v>4483.3</v>
      </c>
      <c r="M83" s="6">
        <f>3131.5</f>
        <v>3131.5</v>
      </c>
      <c r="N83" s="7">
        <f t="shared" si="3"/>
        <v>108893.2</v>
      </c>
      <c r="O83" s="7">
        <f>N83+'59a'!P84+'59a'!G84</f>
        <v>929482.79999999981</v>
      </c>
    </row>
    <row r="84" spans="2:15" s="8" customFormat="1" ht="34.9" hidden="1" customHeight="1">
      <c r="B84" s="15">
        <v>40269</v>
      </c>
      <c r="C84" s="10">
        <f>1873.9+1171.9</f>
        <v>3045.8</v>
      </c>
      <c r="D84" s="10">
        <f>3700.7</f>
        <v>3700.7</v>
      </c>
      <c r="E84" s="10">
        <f>5394.5+759.1</f>
        <v>6153.6</v>
      </c>
      <c r="F84" s="10">
        <f>61.2</f>
        <v>61.2</v>
      </c>
      <c r="G84" s="10">
        <f>1122.5</f>
        <v>1122.5</v>
      </c>
      <c r="H84" s="10">
        <f>1030.3+1418.1</f>
        <v>2448.3999999999996</v>
      </c>
      <c r="I84" s="10">
        <f>34086.1</f>
        <v>34086.1</v>
      </c>
      <c r="J84" s="10">
        <f>7190.2</f>
        <v>7190.2</v>
      </c>
      <c r="K84" s="10">
        <f>73421.8+742.3+1315.8+2479</f>
        <v>77958.900000000009</v>
      </c>
      <c r="L84" s="10">
        <f>8091.2</f>
        <v>8091.2</v>
      </c>
      <c r="M84" s="10">
        <f>2595.1</f>
        <v>2595.1</v>
      </c>
      <c r="N84" s="11">
        <f t="shared" si="3"/>
        <v>146453.70000000004</v>
      </c>
      <c r="O84" s="11">
        <f>N84+'59a'!P85+'59a'!G85</f>
        <v>1131227.5</v>
      </c>
    </row>
    <row r="85" spans="2:15" s="8" customFormat="1" ht="34.9" hidden="1" customHeight="1">
      <c r="B85" s="14">
        <v>40299</v>
      </c>
      <c r="C85" s="6">
        <v>1334.6</v>
      </c>
      <c r="D85" s="6">
        <v>1172.5999999999999</v>
      </c>
      <c r="E85" s="6">
        <v>15417.2</v>
      </c>
      <c r="F85" s="6">
        <v>22.5</v>
      </c>
      <c r="G85" s="6">
        <v>624.9</v>
      </c>
      <c r="H85" s="6">
        <v>566.9</v>
      </c>
      <c r="I85" s="6">
        <v>15471.6</v>
      </c>
      <c r="J85" s="6">
        <v>2440</v>
      </c>
      <c r="K85" s="6">
        <v>27691.599999999999</v>
      </c>
      <c r="L85" s="6">
        <v>4493.3999999999996</v>
      </c>
      <c r="M85" s="6">
        <v>616.4</v>
      </c>
      <c r="N85" s="7">
        <f t="shared" si="3"/>
        <v>69851.7</v>
      </c>
      <c r="O85" s="7">
        <f>N85+'59a'!P86+'59a'!G86</f>
        <v>586307.60000000009</v>
      </c>
    </row>
    <row r="86" spans="2:15" s="8" customFormat="1" ht="34.9" hidden="1" customHeight="1">
      <c r="B86" s="15">
        <v>40330</v>
      </c>
      <c r="C86" s="10">
        <v>537.92600000000004</v>
      </c>
      <c r="D86" s="10">
        <f>1605.4+1040+1924</f>
        <v>4569.3999999999996</v>
      </c>
      <c r="E86" s="10">
        <v>2517.4299999999998</v>
      </c>
      <c r="F86" s="10">
        <v>112.336</v>
      </c>
      <c r="G86" s="10">
        <v>196.3</v>
      </c>
      <c r="H86" s="10">
        <v>1755.433</v>
      </c>
      <c r="I86" s="10">
        <v>16816.507000000001</v>
      </c>
      <c r="J86" s="10">
        <v>1333.319</v>
      </c>
      <c r="K86" s="10">
        <f>13060.2+1323</f>
        <v>14383.2</v>
      </c>
      <c r="L86" s="10">
        <v>6201.4719999999998</v>
      </c>
      <c r="M86" s="10">
        <v>1648.1</v>
      </c>
      <c r="N86" s="11">
        <f t="shared" si="3"/>
        <v>50071.423000000003</v>
      </c>
      <c r="O86" s="11">
        <f>N86+'59a'!P87+'59a'!G87</f>
        <v>492673.34399999992</v>
      </c>
    </row>
    <row r="87" spans="2:15" s="8" customFormat="1" ht="34.9" hidden="1" customHeight="1">
      <c r="B87" s="14">
        <v>40360</v>
      </c>
      <c r="C87" s="6">
        <v>206</v>
      </c>
      <c r="D87" s="6">
        <v>2094.1</v>
      </c>
      <c r="E87" s="6">
        <v>1223.8</v>
      </c>
      <c r="F87" s="6">
        <v>20.867000000000001</v>
      </c>
      <c r="G87" s="6">
        <v>712.9</v>
      </c>
      <c r="H87" s="6">
        <v>686.65099999999995</v>
      </c>
      <c r="I87" s="6">
        <v>8278</v>
      </c>
      <c r="J87" s="6">
        <v>911.74400000000003</v>
      </c>
      <c r="K87" s="6">
        <v>10484.6</v>
      </c>
      <c r="L87" s="6">
        <v>9729.3549999999996</v>
      </c>
      <c r="M87" s="6">
        <v>2982.6</v>
      </c>
      <c r="N87" s="7">
        <f t="shared" si="3"/>
        <v>37330.616999999998</v>
      </c>
      <c r="O87" s="7">
        <f>N87+'59a'!P88+'59a'!G88</f>
        <v>432586.576</v>
      </c>
    </row>
    <row r="88" spans="2:15" s="8" customFormat="1" ht="34.9" hidden="1" customHeight="1">
      <c r="B88" s="15">
        <v>40391</v>
      </c>
      <c r="C88" s="10">
        <v>879.78899999999999</v>
      </c>
      <c r="D88" s="10">
        <v>3432.8</v>
      </c>
      <c r="E88" s="10">
        <v>1143.6099999999999</v>
      </c>
      <c r="F88" s="10">
        <v>5.3419999999999996</v>
      </c>
      <c r="G88" s="10">
        <v>564.9</v>
      </c>
      <c r="H88" s="10">
        <v>954.97400000000005</v>
      </c>
      <c r="I88" s="10">
        <v>6506.2870000000003</v>
      </c>
      <c r="J88" s="10">
        <v>717.34100000000001</v>
      </c>
      <c r="K88" s="10">
        <v>8882.5</v>
      </c>
      <c r="L88" s="10">
        <v>10003.299999999999</v>
      </c>
      <c r="M88" s="10">
        <v>9828.4</v>
      </c>
      <c r="N88" s="11">
        <f t="shared" si="3"/>
        <v>42919.242999999995</v>
      </c>
      <c r="O88" s="11">
        <f>N88+'59a'!P89+'59a'!G89</f>
        <v>446100.80999999994</v>
      </c>
    </row>
    <row r="89" spans="2:15" s="8" customFormat="1" ht="34.9" hidden="1" customHeight="1">
      <c r="B89" s="14">
        <v>40422</v>
      </c>
      <c r="C89" s="6">
        <v>263.7</v>
      </c>
      <c r="D89" s="6">
        <v>2874.1</v>
      </c>
      <c r="E89" s="6">
        <v>1113.3</v>
      </c>
      <c r="F89" s="6">
        <v>99.6</v>
      </c>
      <c r="G89" s="6">
        <v>4673.5</v>
      </c>
      <c r="H89" s="6">
        <v>922.7</v>
      </c>
      <c r="I89" s="6">
        <v>5513.6</v>
      </c>
      <c r="J89" s="6">
        <v>2293.6999999999998</v>
      </c>
      <c r="K89" s="6">
        <v>17485.400000000001</v>
      </c>
      <c r="L89" s="6">
        <v>10073.799999999999</v>
      </c>
      <c r="M89" s="6">
        <f>12924.1+574.7</f>
        <v>13498.800000000001</v>
      </c>
      <c r="N89" s="7">
        <f t="shared" si="3"/>
        <v>58812.200000000012</v>
      </c>
      <c r="O89" s="7">
        <f>N89+'59a'!P90+'59a'!G90</f>
        <v>559899.69999999995</v>
      </c>
    </row>
    <row r="90" spans="2:15" s="8" customFormat="1" ht="34.9" hidden="1" customHeight="1">
      <c r="B90" s="15">
        <v>40452</v>
      </c>
      <c r="C90" s="10">
        <v>741.5</v>
      </c>
      <c r="D90" s="10">
        <v>955.6</v>
      </c>
      <c r="E90" s="10">
        <v>477.1</v>
      </c>
      <c r="F90" s="10">
        <v>6.7</v>
      </c>
      <c r="G90" s="10">
        <v>3830.2</v>
      </c>
      <c r="H90" s="10">
        <v>2992.2</v>
      </c>
      <c r="I90" s="10">
        <v>10298.6</v>
      </c>
      <c r="J90" s="10">
        <v>622.4</v>
      </c>
      <c r="K90" s="10">
        <v>8007.4</v>
      </c>
      <c r="L90" s="10">
        <f>5874+628.1</f>
        <v>6502.1</v>
      </c>
      <c r="M90" s="10">
        <v>7749.4</v>
      </c>
      <c r="N90" s="11">
        <f t="shared" si="3"/>
        <v>42183.200000000004</v>
      </c>
      <c r="O90" s="11">
        <f>N90+'59a'!P91+'59a'!G91</f>
        <v>388730.1</v>
      </c>
    </row>
    <row r="91" spans="2:15" s="8" customFormat="1" ht="34.9" hidden="1" customHeight="1">
      <c r="B91" s="14">
        <v>40483</v>
      </c>
      <c r="C91" s="6">
        <v>580.29999999999995</v>
      </c>
      <c r="D91" s="6">
        <f>1186.1+1000+1000</f>
        <v>3186.1</v>
      </c>
      <c r="E91" s="6">
        <v>156.1</v>
      </c>
      <c r="F91" s="6">
        <v>17.8</v>
      </c>
      <c r="G91" s="6">
        <v>3792.3</v>
      </c>
      <c r="H91" s="6">
        <v>3459.7</v>
      </c>
      <c r="I91" s="6">
        <v>4856</v>
      </c>
      <c r="J91" s="6">
        <v>494.7</v>
      </c>
      <c r="K91" s="6">
        <v>10209.799999999999</v>
      </c>
      <c r="L91" s="6">
        <v>2454.5</v>
      </c>
      <c r="M91" s="6">
        <v>2264.1999999999998</v>
      </c>
      <c r="N91" s="7">
        <f t="shared" si="3"/>
        <v>31471.5</v>
      </c>
      <c r="O91" s="7">
        <f>N91+'59a'!P92+'59a'!G92</f>
        <v>284141.70000000007</v>
      </c>
    </row>
    <row r="92" spans="2:15" s="8" customFormat="1" ht="34.9" hidden="1" customHeight="1">
      <c r="B92" s="15">
        <v>40513</v>
      </c>
      <c r="C92" s="10">
        <v>845.3</v>
      </c>
      <c r="D92" s="10">
        <v>2391.5</v>
      </c>
      <c r="E92" s="10">
        <v>325.10000000000002</v>
      </c>
      <c r="F92" s="10">
        <v>47.1</v>
      </c>
      <c r="G92" s="10">
        <v>2499.8000000000002</v>
      </c>
      <c r="H92" s="10">
        <v>2862.3</v>
      </c>
      <c r="I92" s="10">
        <v>14568.2</v>
      </c>
      <c r="J92" s="10">
        <v>1287.8</v>
      </c>
      <c r="K92" s="10">
        <f>21927.8+2530</f>
        <v>24457.8</v>
      </c>
      <c r="L92" s="10">
        <v>1183.9000000000001</v>
      </c>
      <c r="M92" s="10">
        <v>2739</v>
      </c>
      <c r="N92" s="11">
        <f t="shared" si="3"/>
        <v>53207.8</v>
      </c>
      <c r="O92" s="11">
        <f>N92+'59a'!P93+'59a'!G93</f>
        <v>354225.4</v>
      </c>
    </row>
    <row r="93" spans="2:15" s="8" customFormat="1" ht="34.9" hidden="1" customHeight="1">
      <c r="B93" s="3">
        <v>2011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3"/>
      <c r="O93" s="13"/>
    </row>
    <row r="94" spans="2:15" s="8" customFormat="1" ht="34.9" hidden="1" customHeight="1">
      <c r="B94" s="14">
        <v>40544</v>
      </c>
      <c r="C94" s="6">
        <v>675.8</v>
      </c>
      <c r="D94" s="6">
        <v>896.6</v>
      </c>
      <c r="E94" s="6">
        <v>293.39999999999998</v>
      </c>
      <c r="F94" s="6">
        <v>62.6</v>
      </c>
      <c r="G94" s="6">
        <v>2707.5</v>
      </c>
      <c r="H94" s="6">
        <v>2201.1999999999998</v>
      </c>
      <c r="I94" s="6">
        <v>49787.5</v>
      </c>
      <c r="J94" s="6">
        <v>1293.2</v>
      </c>
      <c r="K94" s="6">
        <f>57910.5+590+520+510+510+1180</f>
        <v>61220.5</v>
      </c>
      <c r="L94" s="6">
        <v>1240.0999999999999</v>
      </c>
      <c r="M94" s="6">
        <v>769.9</v>
      </c>
      <c r="N94" s="7">
        <f t="shared" ref="N94:N105" si="4">SUM(C94:M94)</f>
        <v>121148.29999999999</v>
      </c>
      <c r="O94" s="7">
        <f>N94+'59a'!P95+'59a'!G95</f>
        <v>405481.69999999995</v>
      </c>
    </row>
    <row r="95" spans="2:15" s="8" customFormat="1" ht="34.9" hidden="1" customHeight="1">
      <c r="B95" s="15">
        <v>40575</v>
      </c>
      <c r="C95" s="10">
        <v>580.70000000000005</v>
      </c>
      <c r="D95" s="10">
        <v>830.3</v>
      </c>
      <c r="E95" s="10">
        <v>191.2</v>
      </c>
      <c r="F95" s="10">
        <v>8.6</v>
      </c>
      <c r="G95" s="10">
        <v>943.9</v>
      </c>
      <c r="H95" s="10">
        <v>4170.7</v>
      </c>
      <c r="I95" s="10">
        <v>8442.4</v>
      </c>
      <c r="J95" s="10">
        <v>1328</v>
      </c>
      <c r="K95" s="10">
        <f>29190.7+860+1969+561.8</f>
        <v>32581.5</v>
      </c>
      <c r="L95" s="10">
        <v>1540.9</v>
      </c>
      <c r="M95" s="10">
        <v>250.7</v>
      </c>
      <c r="N95" s="11">
        <f t="shared" si="4"/>
        <v>50868.9</v>
      </c>
      <c r="O95" s="11">
        <f>N95+'59a'!P96+'59a'!G96</f>
        <v>216548.59999999998</v>
      </c>
    </row>
    <row r="96" spans="2:15" s="8" customFormat="1" ht="34.9" hidden="1" customHeight="1">
      <c r="B96" s="14">
        <v>40603</v>
      </c>
      <c r="C96" s="6">
        <v>859.1</v>
      </c>
      <c r="D96" s="6">
        <f>1839.5+640</f>
        <v>2479.5</v>
      </c>
      <c r="E96" s="6">
        <v>162.9</v>
      </c>
      <c r="F96" s="6">
        <v>53.6</v>
      </c>
      <c r="G96" s="6">
        <v>369.3</v>
      </c>
      <c r="H96" s="6">
        <f>13353.6+1522.2+601.9</f>
        <v>15477.7</v>
      </c>
      <c r="I96" s="6">
        <v>11971.4</v>
      </c>
      <c r="J96" s="6">
        <v>416.1</v>
      </c>
      <c r="K96" s="6">
        <f>25300.9+1772.6+1376+540+815.4+2090</f>
        <v>31894.9</v>
      </c>
      <c r="L96" s="6">
        <v>1129.0999999999999</v>
      </c>
      <c r="M96" s="6">
        <v>341.1</v>
      </c>
      <c r="N96" s="7">
        <f t="shared" si="4"/>
        <v>65154.7</v>
      </c>
      <c r="O96" s="7">
        <f>N96+'59a'!P97+'59a'!G97</f>
        <v>289719</v>
      </c>
    </row>
    <row r="97" spans="2:15" s="8" customFormat="1" ht="34.9" hidden="1" customHeight="1">
      <c r="B97" s="15">
        <v>40634</v>
      </c>
      <c r="C97" s="10">
        <v>379.5</v>
      </c>
      <c r="D97" s="10">
        <v>2781.7</v>
      </c>
      <c r="E97" s="10">
        <v>306.10000000000002</v>
      </c>
      <c r="F97" s="10">
        <v>1.1000000000000001</v>
      </c>
      <c r="G97" s="10">
        <v>3298.6</v>
      </c>
      <c r="H97" s="10">
        <v>505.6</v>
      </c>
      <c r="I97" s="10">
        <v>8993.5</v>
      </c>
      <c r="J97" s="10">
        <v>1173</v>
      </c>
      <c r="K97" s="10">
        <v>20055.8</v>
      </c>
      <c r="L97" s="10">
        <v>1487.3</v>
      </c>
      <c r="M97" s="10">
        <v>305.5</v>
      </c>
      <c r="N97" s="11">
        <f t="shared" si="4"/>
        <v>39287.699999999997</v>
      </c>
      <c r="O97" s="11">
        <f>N97+'59a'!P98+'59a'!G98</f>
        <v>264597.59999999998</v>
      </c>
    </row>
    <row r="98" spans="2:15" s="8" customFormat="1" ht="34.9" hidden="1" customHeight="1">
      <c r="B98" s="14">
        <v>40664</v>
      </c>
      <c r="C98" s="6">
        <v>440.3</v>
      </c>
      <c r="D98" s="6">
        <v>2760.1</v>
      </c>
      <c r="E98" s="6">
        <v>596.1</v>
      </c>
      <c r="F98" s="6">
        <v>195.8</v>
      </c>
      <c r="G98" s="6">
        <v>983.5</v>
      </c>
      <c r="H98" s="6">
        <v>659.1</v>
      </c>
      <c r="I98" s="6">
        <v>11632.9</v>
      </c>
      <c r="J98" s="6">
        <v>4606.8999999999996</v>
      </c>
      <c r="K98" s="6">
        <v>16500.8</v>
      </c>
      <c r="L98" s="6">
        <v>2501.8000000000002</v>
      </c>
      <c r="M98" s="6">
        <v>975.9</v>
      </c>
      <c r="N98" s="7">
        <f t="shared" si="4"/>
        <v>41853.200000000004</v>
      </c>
      <c r="O98" s="7">
        <f>N98+'59a'!P99+'59a'!G99</f>
        <v>313638</v>
      </c>
    </row>
    <row r="99" spans="2:15" s="8" customFormat="1" ht="34.9" hidden="1" customHeight="1">
      <c r="B99" s="15">
        <v>40695</v>
      </c>
      <c r="C99" s="10">
        <v>554.6</v>
      </c>
      <c r="D99" s="10">
        <v>1979.5</v>
      </c>
      <c r="E99" s="10">
        <v>160.69999999999999</v>
      </c>
      <c r="F99" s="10">
        <v>1129.7</v>
      </c>
      <c r="G99" s="10">
        <v>149.30000000000001</v>
      </c>
      <c r="H99" s="10">
        <v>701</v>
      </c>
      <c r="I99" s="10">
        <v>8988.2999999999993</v>
      </c>
      <c r="J99" s="10">
        <v>6589.2</v>
      </c>
      <c r="K99" s="10">
        <v>10196.6</v>
      </c>
      <c r="L99" s="10">
        <v>7013.6</v>
      </c>
      <c r="M99" s="10">
        <v>188.2</v>
      </c>
      <c r="N99" s="11">
        <f t="shared" si="4"/>
        <v>37650.699999999997</v>
      </c>
      <c r="O99" s="11">
        <f>N99+'59a'!P100+'59a'!G100</f>
        <v>248504.3</v>
      </c>
    </row>
    <row r="100" spans="2:15" s="8" customFormat="1" ht="34.9" hidden="1" customHeight="1">
      <c r="B100" s="14">
        <v>40725</v>
      </c>
      <c r="C100" s="6">
        <v>379.4</v>
      </c>
      <c r="D100" s="6">
        <v>2852.8</v>
      </c>
      <c r="E100" s="6">
        <v>120.9</v>
      </c>
      <c r="F100" s="6">
        <v>15</v>
      </c>
      <c r="G100" s="6">
        <v>106.1</v>
      </c>
      <c r="H100" s="6">
        <v>1933.2</v>
      </c>
      <c r="I100" s="6">
        <v>18521.5</v>
      </c>
      <c r="J100" s="6">
        <v>8718.9</v>
      </c>
      <c r="K100" s="6">
        <v>5695.7</v>
      </c>
      <c r="L100" s="6">
        <v>1377.1</v>
      </c>
      <c r="M100" s="6">
        <v>257.5</v>
      </c>
      <c r="N100" s="7">
        <f t="shared" si="4"/>
        <v>39978.1</v>
      </c>
      <c r="O100" s="7">
        <f>N100+'59a'!P101+'59a'!G101</f>
        <v>235506.1</v>
      </c>
    </row>
    <row r="101" spans="2:15" s="8" customFormat="1" ht="34.9" hidden="1" customHeight="1">
      <c r="B101" s="15">
        <v>40756</v>
      </c>
      <c r="C101" s="10">
        <v>264.10000000000002</v>
      </c>
      <c r="D101" s="10">
        <v>1466.1</v>
      </c>
      <c r="E101" s="10">
        <v>37</v>
      </c>
      <c r="F101" s="10">
        <v>34.9</v>
      </c>
      <c r="G101" s="10">
        <v>58.6</v>
      </c>
      <c r="H101" s="10">
        <v>820</v>
      </c>
      <c r="I101" s="10">
        <v>10253</v>
      </c>
      <c r="J101" s="10">
        <v>4796.8</v>
      </c>
      <c r="K101" s="10">
        <v>8392.5</v>
      </c>
      <c r="L101" s="10">
        <v>773.7</v>
      </c>
      <c r="M101" s="10">
        <v>273.3</v>
      </c>
      <c r="N101" s="11">
        <f t="shared" si="4"/>
        <v>27170</v>
      </c>
      <c r="O101" s="11">
        <f>N101+'59a'!P102+'59a'!G102</f>
        <v>176135.30000000002</v>
      </c>
    </row>
    <row r="102" spans="2:15" s="8" customFormat="1" ht="34.9" hidden="1" customHeight="1">
      <c r="B102" s="14">
        <v>40787</v>
      </c>
      <c r="C102" s="6">
        <v>263.7</v>
      </c>
      <c r="D102" s="6">
        <v>978</v>
      </c>
      <c r="E102" s="6">
        <v>302.5</v>
      </c>
      <c r="F102" s="6">
        <v>40.5</v>
      </c>
      <c r="G102" s="6">
        <v>146.80000000000001</v>
      </c>
      <c r="H102" s="6">
        <v>1088.5</v>
      </c>
      <c r="I102" s="6">
        <v>4265.7</v>
      </c>
      <c r="J102" s="6">
        <v>2884.7</v>
      </c>
      <c r="K102" s="6">
        <v>9441.2000000000007</v>
      </c>
      <c r="L102" s="6">
        <v>886.2</v>
      </c>
      <c r="M102" s="6">
        <v>1046.8</v>
      </c>
      <c r="N102" s="7">
        <f t="shared" si="4"/>
        <v>21344.6</v>
      </c>
      <c r="O102" s="7">
        <f>N102+'59a'!P103+'59a'!G103</f>
        <v>198253.5</v>
      </c>
    </row>
    <row r="103" spans="2:15" s="8" customFormat="1" ht="34.9" hidden="1" customHeight="1">
      <c r="B103" s="15">
        <v>40817</v>
      </c>
      <c r="C103" s="10">
        <v>278.10000000000002</v>
      </c>
      <c r="D103" s="10">
        <v>508.3</v>
      </c>
      <c r="E103" s="10">
        <v>153.5</v>
      </c>
      <c r="F103" s="10">
        <v>25.4</v>
      </c>
      <c r="G103" s="10">
        <v>97.8</v>
      </c>
      <c r="H103" s="10">
        <v>293</v>
      </c>
      <c r="I103" s="10">
        <v>12713.2</v>
      </c>
      <c r="J103" s="10">
        <v>3184.5</v>
      </c>
      <c r="K103" s="10">
        <v>2665.5</v>
      </c>
      <c r="L103" s="10">
        <v>228.2</v>
      </c>
      <c r="M103" s="10">
        <v>1245.4000000000001</v>
      </c>
      <c r="N103" s="11">
        <f t="shared" si="4"/>
        <v>21392.900000000005</v>
      </c>
      <c r="O103" s="11">
        <f>N103+'59a'!P104+'59a'!G104</f>
        <v>181580.2</v>
      </c>
    </row>
    <row r="104" spans="2:15" s="8" customFormat="1" ht="34.9" hidden="1" customHeight="1">
      <c r="B104" s="14">
        <v>40848</v>
      </c>
      <c r="C104" s="6">
        <v>523.6</v>
      </c>
      <c r="D104" s="6">
        <v>830.5</v>
      </c>
      <c r="E104" s="6">
        <v>119.4</v>
      </c>
      <c r="F104" s="6">
        <v>56.8</v>
      </c>
      <c r="G104" s="6">
        <v>135.69999999999999</v>
      </c>
      <c r="H104" s="6">
        <v>433.3</v>
      </c>
      <c r="I104" s="6">
        <v>10743.9</v>
      </c>
      <c r="J104" s="6">
        <v>2792.7</v>
      </c>
      <c r="K104" s="6">
        <v>2290.1999999999998</v>
      </c>
      <c r="L104" s="6">
        <v>403.7</v>
      </c>
      <c r="M104" s="6">
        <v>202.7</v>
      </c>
      <c r="N104" s="7">
        <f t="shared" si="4"/>
        <v>18532.500000000004</v>
      </c>
      <c r="O104" s="7">
        <f>N104+'59a'!P105+'59a'!G105</f>
        <v>139138.1</v>
      </c>
    </row>
    <row r="105" spans="2:15" s="8" customFormat="1" ht="34.9" hidden="1" customHeight="1">
      <c r="B105" s="15">
        <v>40878</v>
      </c>
      <c r="C105" s="10">
        <v>591.1</v>
      </c>
      <c r="D105" s="10">
        <v>1320.7</v>
      </c>
      <c r="E105" s="10">
        <v>84.4</v>
      </c>
      <c r="F105" s="10">
        <v>4.9000000000000004</v>
      </c>
      <c r="G105" s="10">
        <v>202.1</v>
      </c>
      <c r="H105" s="10">
        <v>1962.4</v>
      </c>
      <c r="I105" s="10">
        <v>21547.5</v>
      </c>
      <c r="J105" s="10">
        <v>2295.4</v>
      </c>
      <c r="K105" s="10">
        <v>1642.3</v>
      </c>
      <c r="L105" s="10">
        <v>662.4</v>
      </c>
      <c r="M105" s="10">
        <v>2198.9</v>
      </c>
      <c r="N105" s="11">
        <f t="shared" si="4"/>
        <v>32512.100000000002</v>
      </c>
      <c r="O105" s="11">
        <f>N105+'59a'!P106+'59a'!G106</f>
        <v>181144.3</v>
      </c>
    </row>
    <row r="106" spans="2:15" s="8" customFormat="1" ht="34.9" hidden="1" customHeight="1">
      <c r="B106" s="3">
        <v>2012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3"/>
      <c r="O106" s="13"/>
    </row>
    <row r="107" spans="2:15" s="8" customFormat="1" ht="34.9" hidden="1" customHeight="1">
      <c r="B107" s="14">
        <v>40909</v>
      </c>
      <c r="C107" s="6">
        <v>146.19999999999999</v>
      </c>
      <c r="D107" s="6">
        <v>1229.3</v>
      </c>
      <c r="E107" s="6">
        <v>23.7</v>
      </c>
      <c r="F107" s="6">
        <v>278.10000000000002</v>
      </c>
      <c r="G107" s="6">
        <v>144.19999999999999</v>
      </c>
      <c r="H107" s="6">
        <v>1186.2</v>
      </c>
      <c r="I107" s="6">
        <v>7244</v>
      </c>
      <c r="J107" s="6">
        <v>3370.5</v>
      </c>
      <c r="K107" s="6">
        <v>1717.3</v>
      </c>
      <c r="L107" s="6">
        <v>1244.3</v>
      </c>
      <c r="M107" s="6">
        <v>3914</v>
      </c>
      <c r="N107" s="7">
        <f t="shared" ref="N107:N118" si="5">SUM(C107:M107)</f>
        <v>20497.8</v>
      </c>
      <c r="O107" s="7">
        <f>N107+'59a'!P108+'59a'!G108</f>
        <v>157576.5</v>
      </c>
    </row>
    <row r="108" spans="2:15" s="8" customFormat="1" ht="34.9" hidden="1" customHeight="1">
      <c r="B108" s="15">
        <v>40940</v>
      </c>
      <c r="C108" s="10">
        <v>463.7</v>
      </c>
      <c r="D108" s="10">
        <v>853.5</v>
      </c>
      <c r="E108" s="10">
        <v>2</v>
      </c>
      <c r="F108" s="10">
        <v>677.6</v>
      </c>
      <c r="G108" s="10">
        <v>183.1</v>
      </c>
      <c r="H108" s="10">
        <v>21674.6</v>
      </c>
      <c r="I108" s="10">
        <v>6957.3</v>
      </c>
      <c r="J108" s="10">
        <v>10014</v>
      </c>
      <c r="K108" s="10">
        <f>2816.7+509.5</f>
        <v>3326.2</v>
      </c>
      <c r="L108" s="10">
        <v>532.29999999999995</v>
      </c>
      <c r="M108" s="10">
        <v>5045.8999999999996</v>
      </c>
      <c r="N108" s="11">
        <f t="shared" si="5"/>
        <v>49730.200000000004</v>
      </c>
      <c r="O108" s="11">
        <f>N108+'59a'!P109+'59a'!G109</f>
        <v>198840.2</v>
      </c>
    </row>
    <row r="109" spans="2:15" s="8" customFormat="1" ht="34.9" hidden="1" customHeight="1">
      <c r="B109" s="14">
        <v>40969</v>
      </c>
      <c r="C109" s="6">
        <v>501</v>
      </c>
      <c r="D109" s="6">
        <v>1063.5999999999999</v>
      </c>
      <c r="E109" s="6">
        <v>353.9</v>
      </c>
      <c r="F109" s="6">
        <v>1660.1</v>
      </c>
      <c r="G109" s="6">
        <v>36.6</v>
      </c>
      <c r="H109" s="6">
        <v>7426.8</v>
      </c>
      <c r="I109" s="6">
        <v>11340.2</v>
      </c>
      <c r="J109" s="6">
        <v>10786.4</v>
      </c>
      <c r="K109" s="6">
        <v>1182.8</v>
      </c>
      <c r="L109" s="6">
        <v>1336.5</v>
      </c>
      <c r="M109" s="6">
        <v>13326.9</v>
      </c>
      <c r="N109" s="7">
        <f t="shared" si="5"/>
        <v>49014.8</v>
      </c>
      <c r="O109" s="7">
        <f>N109+'59a'!P110+'59a'!G110</f>
        <v>226744.5</v>
      </c>
    </row>
    <row r="110" spans="2:15" s="8" customFormat="1" ht="34.9" hidden="1" customHeight="1">
      <c r="B110" s="15">
        <v>41000</v>
      </c>
      <c r="C110" s="10">
        <v>1010</v>
      </c>
      <c r="D110" s="10">
        <v>2941.7</v>
      </c>
      <c r="E110" s="10">
        <v>418.6</v>
      </c>
      <c r="F110" s="10">
        <v>122.5</v>
      </c>
      <c r="G110" s="10">
        <v>94.7</v>
      </c>
      <c r="H110" s="10">
        <v>4090.5</v>
      </c>
      <c r="I110" s="10">
        <v>11995</v>
      </c>
      <c r="J110" s="10">
        <v>11350.6</v>
      </c>
      <c r="K110" s="10">
        <v>805.6</v>
      </c>
      <c r="L110" s="10">
        <v>1158.0999999999999</v>
      </c>
      <c r="M110" s="10">
        <v>7265.7</v>
      </c>
      <c r="N110" s="11">
        <f t="shared" si="5"/>
        <v>41252.999999999993</v>
      </c>
      <c r="O110" s="11">
        <f>N110+'59a'!P111+'59a'!G111</f>
        <v>232591</v>
      </c>
    </row>
    <row r="111" spans="2:15" s="8" customFormat="1" ht="34.9" hidden="1" customHeight="1">
      <c r="B111" s="14">
        <v>41030</v>
      </c>
      <c r="C111" s="6">
        <v>826</v>
      </c>
      <c r="D111" s="6">
        <v>4800.6000000000004</v>
      </c>
      <c r="E111" s="6">
        <v>420.4</v>
      </c>
      <c r="F111" s="6">
        <v>30.8</v>
      </c>
      <c r="G111" s="6">
        <v>153.6</v>
      </c>
      <c r="H111" s="6">
        <v>3597.9</v>
      </c>
      <c r="I111" s="6">
        <v>11895.5</v>
      </c>
      <c r="J111" s="6">
        <v>5312</v>
      </c>
      <c r="K111" s="6">
        <v>637.9</v>
      </c>
      <c r="L111" s="6">
        <v>1639.6</v>
      </c>
      <c r="M111" s="6">
        <v>1583.1</v>
      </c>
      <c r="N111" s="7">
        <f t="shared" si="5"/>
        <v>30897.4</v>
      </c>
      <c r="O111" s="7">
        <f>N111+'59a'!P112+'59a'!G112</f>
        <v>147462.1</v>
      </c>
    </row>
    <row r="112" spans="2:15" s="8" customFormat="1" ht="34.9" hidden="1" customHeight="1">
      <c r="B112" s="15">
        <v>41061</v>
      </c>
      <c r="C112" s="10">
        <v>153.4</v>
      </c>
      <c r="D112" s="10">
        <v>1382.9</v>
      </c>
      <c r="E112" s="10">
        <v>80.7</v>
      </c>
      <c r="F112" s="10">
        <v>551.20000000000005</v>
      </c>
      <c r="G112" s="10">
        <v>64.599999999999994</v>
      </c>
      <c r="H112" s="10">
        <v>4014.2</v>
      </c>
      <c r="I112" s="10">
        <v>4172.8</v>
      </c>
      <c r="J112" s="10">
        <v>4719.3999999999996</v>
      </c>
      <c r="K112" s="10">
        <v>499.3</v>
      </c>
      <c r="L112" s="10">
        <v>1748.9</v>
      </c>
      <c r="M112" s="10">
        <v>2241.9</v>
      </c>
      <c r="N112" s="11">
        <f t="shared" si="5"/>
        <v>19629.3</v>
      </c>
      <c r="O112" s="11">
        <f>N112+'59a'!P113+'59a'!G113</f>
        <v>131673.29999999999</v>
      </c>
    </row>
    <row r="113" spans="2:15" s="8" customFormat="1" ht="34.9" hidden="1" customHeight="1">
      <c r="B113" s="14">
        <v>41091</v>
      </c>
      <c r="C113" s="6">
        <v>367.8</v>
      </c>
      <c r="D113" s="6">
        <f>1047.7+2000</f>
        <v>3047.7</v>
      </c>
      <c r="E113" s="6">
        <v>85.6</v>
      </c>
      <c r="F113" s="6">
        <v>63.5</v>
      </c>
      <c r="G113" s="6">
        <v>125.7</v>
      </c>
      <c r="H113" s="6">
        <v>7120</v>
      </c>
      <c r="I113" s="6">
        <v>2745</v>
      </c>
      <c r="J113" s="6">
        <v>5928.5</v>
      </c>
      <c r="K113" s="6">
        <v>764.1</v>
      </c>
      <c r="L113" s="6">
        <v>1916.4</v>
      </c>
      <c r="M113" s="6">
        <v>7398.8</v>
      </c>
      <c r="N113" s="7">
        <f t="shared" si="5"/>
        <v>29563.1</v>
      </c>
      <c r="O113" s="7">
        <f>N113+'59a'!P114+'59a'!G114</f>
        <v>137287.09999999998</v>
      </c>
    </row>
    <row r="114" spans="2:15" s="8" customFormat="1" ht="34.9" hidden="1" customHeight="1">
      <c r="B114" s="15">
        <v>41122</v>
      </c>
      <c r="C114" s="10">
        <v>82.4</v>
      </c>
      <c r="D114" s="10">
        <v>629.65989999999999</v>
      </c>
      <c r="E114" s="10">
        <v>122.5</v>
      </c>
      <c r="F114" s="10">
        <v>25.9</v>
      </c>
      <c r="G114" s="10">
        <v>42.2</v>
      </c>
      <c r="H114" s="10">
        <v>1752</v>
      </c>
      <c r="I114" s="10">
        <v>3197.2</v>
      </c>
      <c r="J114" s="10">
        <v>2244.1</v>
      </c>
      <c r="K114" s="10">
        <v>152.1</v>
      </c>
      <c r="L114" s="10">
        <v>1956</v>
      </c>
      <c r="M114" s="10">
        <v>2369.6</v>
      </c>
      <c r="N114" s="11">
        <f t="shared" si="5"/>
        <v>12573.659900000001</v>
      </c>
      <c r="O114" s="11">
        <f>N114+'59a'!P115+'59a'!G115</f>
        <v>105203.6599</v>
      </c>
    </row>
    <row r="115" spans="2:15" s="8" customFormat="1" ht="34.9" hidden="1" customHeight="1">
      <c r="B115" s="14">
        <v>41153</v>
      </c>
      <c r="C115" s="6">
        <v>249.4</v>
      </c>
      <c r="D115" s="6">
        <v>639.9</v>
      </c>
      <c r="E115" s="6">
        <v>654.6</v>
      </c>
      <c r="F115" s="6">
        <v>0</v>
      </c>
      <c r="G115" s="6">
        <v>129.69999999999999</v>
      </c>
      <c r="H115" s="6">
        <v>1502.1</v>
      </c>
      <c r="I115" s="6">
        <v>10805.1</v>
      </c>
      <c r="J115" s="6">
        <v>3429</v>
      </c>
      <c r="K115" s="6">
        <v>1165.4000000000001</v>
      </c>
      <c r="L115" s="6">
        <v>3807</v>
      </c>
      <c r="M115" s="6">
        <v>1631.9</v>
      </c>
      <c r="N115" s="7">
        <f t="shared" si="5"/>
        <v>24014.100000000002</v>
      </c>
      <c r="O115" s="7">
        <f>N115+'59a'!P116+'59a'!G116</f>
        <v>139542</v>
      </c>
    </row>
    <row r="116" spans="2:15" s="8" customFormat="1" ht="34.9" hidden="1" customHeight="1">
      <c r="B116" s="15">
        <v>41183</v>
      </c>
      <c r="C116" s="10">
        <v>89.3</v>
      </c>
      <c r="D116" s="10">
        <v>498.8</v>
      </c>
      <c r="E116" s="10">
        <v>118.9</v>
      </c>
      <c r="F116" s="10">
        <v>1.9</v>
      </c>
      <c r="G116" s="10">
        <v>297.39999999999998</v>
      </c>
      <c r="H116" s="10">
        <v>4145.5</v>
      </c>
      <c r="I116" s="10">
        <v>3889.4</v>
      </c>
      <c r="J116" s="10">
        <v>2728</v>
      </c>
      <c r="K116" s="10">
        <v>545.29999999999995</v>
      </c>
      <c r="L116" s="10">
        <v>5098.7</v>
      </c>
      <c r="M116" s="10">
        <v>2132.6999999999998</v>
      </c>
      <c r="N116" s="11">
        <f t="shared" si="5"/>
        <v>19545.900000000001</v>
      </c>
      <c r="O116" s="11">
        <f>N116+'59a'!P117+'59a'!G117</f>
        <v>155015.80000000002</v>
      </c>
    </row>
    <row r="117" spans="2:15" s="8" customFormat="1" ht="34.9" hidden="1" customHeight="1">
      <c r="B117" s="14">
        <v>41214</v>
      </c>
      <c r="C117" s="6">
        <v>526</v>
      </c>
      <c r="D117" s="6">
        <v>1249.0999999999999</v>
      </c>
      <c r="E117" s="6">
        <v>27.4</v>
      </c>
      <c r="F117" s="6">
        <v>1554.8</v>
      </c>
      <c r="G117" s="6">
        <v>164.6</v>
      </c>
      <c r="H117" s="6">
        <v>2406.6999999999998</v>
      </c>
      <c r="I117" s="6">
        <v>10742.8</v>
      </c>
      <c r="J117" s="6">
        <v>2676</v>
      </c>
      <c r="K117" s="6">
        <v>2447.5</v>
      </c>
      <c r="L117" s="6">
        <v>4729.5</v>
      </c>
      <c r="M117" s="6">
        <v>5534.8</v>
      </c>
      <c r="N117" s="7">
        <f t="shared" si="5"/>
        <v>32059.200000000001</v>
      </c>
      <c r="O117" s="7">
        <f>N117+'59a'!P118+'59a'!G118</f>
        <v>149229.4</v>
      </c>
    </row>
    <row r="118" spans="2:15" s="8" customFormat="1" ht="34.9" hidden="1" customHeight="1">
      <c r="B118" s="15">
        <v>41244</v>
      </c>
      <c r="C118" s="10">
        <v>353.55700000000002</v>
      </c>
      <c r="D118" s="10">
        <v>1868.1369999999999</v>
      </c>
      <c r="E118" s="10">
        <v>128.11799999999999</v>
      </c>
      <c r="F118" s="10">
        <v>211.97300000000001</v>
      </c>
      <c r="G118" s="10">
        <v>151.63399999999999</v>
      </c>
      <c r="H118" s="10">
        <v>19808.819</v>
      </c>
      <c r="I118" s="10">
        <v>5352.9120000000003</v>
      </c>
      <c r="J118" s="10">
        <v>13346.8</v>
      </c>
      <c r="K118" s="10">
        <v>9493.1460000000006</v>
      </c>
      <c r="L118" s="10">
        <v>2020.979</v>
      </c>
      <c r="M118" s="10">
        <v>3862.6080000000002</v>
      </c>
      <c r="N118" s="11">
        <f t="shared" si="5"/>
        <v>56598.682999999997</v>
      </c>
      <c r="O118" s="11">
        <f>N118+'59a'!P119+'59a'!G119</f>
        <v>197584.48300000001</v>
      </c>
    </row>
    <row r="119" spans="2:15" s="8" customFormat="1" ht="34.9" hidden="1" customHeight="1">
      <c r="B119" s="3">
        <v>2013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3"/>
      <c r="O119" s="13"/>
    </row>
    <row r="120" spans="2:15" s="8" customFormat="1" ht="34.9" hidden="1" customHeight="1">
      <c r="B120" s="14">
        <v>41275</v>
      </c>
      <c r="C120" s="6">
        <v>184.3</v>
      </c>
      <c r="D120" s="6">
        <v>986.1</v>
      </c>
      <c r="E120" s="6">
        <v>33.1</v>
      </c>
      <c r="F120" s="6">
        <v>886.4</v>
      </c>
      <c r="G120" s="6">
        <v>83</v>
      </c>
      <c r="H120" s="6">
        <v>2621.3000000000002</v>
      </c>
      <c r="I120" s="6">
        <v>12820.2</v>
      </c>
      <c r="J120" s="6">
        <v>3963.6</v>
      </c>
      <c r="K120" s="6">
        <v>10476.200000000001</v>
      </c>
      <c r="L120" s="6">
        <v>1523.8</v>
      </c>
      <c r="M120" s="6">
        <v>1836.7</v>
      </c>
      <c r="N120" s="7">
        <f t="shared" ref="N120:N126" si="6">SUM(C120:M120)</f>
        <v>35414.699999999997</v>
      </c>
      <c r="O120" s="7">
        <f>N120+'59a'!P121+'59a'!G121</f>
        <v>204593.9</v>
      </c>
    </row>
    <row r="121" spans="2:15" s="8" customFormat="1" ht="34.9" hidden="1" customHeight="1">
      <c r="B121" s="15">
        <v>41306</v>
      </c>
      <c r="C121" s="10">
        <v>345.5</v>
      </c>
      <c r="D121" s="10">
        <v>3449.5</v>
      </c>
      <c r="E121" s="10">
        <v>40.9</v>
      </c>
      <c r="F121" s="10">
        <v>606.20000000000005</v>
      </c>
      <c r="G121" s="10">
        <f>155.3+3688.7</f>
        <v>3844</v>
      </c>
      <c r="H121" s="10">
        <v>3867.2</v>
      </c>
      <c r="I121" s="10">
        <v>7265.6</v>
      </c>
      <c r="J121" s="10">
        <v>5000</v>
      </c>
      <c r="K121" s="10">
        <v>12720.4</v>
      </c>
      <c r="L121" s="10">
        <v>2306</v>
      </c>
      <c r="M121" s="10">
        <v>2905.8</v>
      </c>
      <c r="N121" s="11">
        <f t="shared" si="6"/>
        <v>42351.100000000006</v>
      </c>
      <c r="O121" s="11">
        <f>N121+'59a'!P122+'59a'!G122</f>
        <v>213895.10000000003</v>
      </c>
    </row>
    <row r="122" spans="2:15" s="8" customFormat="1" ht="34.9" hidden="1" customHeight="1">
      <c r="B122" s="14">
        <v>41334</v>
      </c>
      <c r="C122" s="6">
        <v>2698.9</v>
      </c>
      <c r="D122" s="6">
        <v>2393.1999999999998</v>
      </c>
      <c r="E122" s="6">
        <v>165.3</v>
      </c>
      <c r="F122" s="6">
        <v>23.4</v>
      </c>
      <c r="G122" s="6">
        <v>104.4</v>
      </c>
      <c r="H122" s="6">
        <v>4858.1000000000004</v>
      </c>
      <c r="I122" s="6">
        <v>8782.4</v>
      </c>
      <c r="J122" s="6">
        <v>6341.6</v>
      </c>
      <c r="K122" s="6">
        <v>7515.6</v>
      </c>
      <c r="L122" s="6">
        <v>2124.6</v>
      </c>
      <c r="M122" s="6">
        <v>9917</v>
      </c>
      <c r="N122" s="7">
        <f t="shared" si="6"/>
        <v>44924.499999999993</v>
      </c>
      <c r="O122" s="7">
        <f>N122+'59a'!P123+'59a'!G123</f>
        <v>405186.89999999997</v>
      </c>
    </row>
    <row r="123" spans="2:15" s="8" customFormat="1" ht="34.9" hidden="1" customHeight="1">
      <c r="B123" s="15">
        <v>41365</v>
      </c>
      <c r="C123" s="10">
        <v>651.79999999999995</v>
      </c>
      <c r="D123" s="10">
        <v>1681.9</v>
      </c>
      <c r="E123" s="10">
        <v>405.8</v>
      </c>
      <c r="F123" s="10">
        <v>0</v>
      </c>
      <c r="G123" s="10">
        <v>100.6</v>
      </c>
      <c r="H123" s="10">
        <v>3539.4</v>
      </c>
      <c r="I123" s="10">
        <v>11731.2</v>
      </c>
      <c r="J123" s="10">
        <v>4415.8</v>
      </c>
      <c r="K123" s="10">
        <v>3852.4</v>
      </c>
      <c r="L123" s="10">
        <v>1825.6</v>
      </c>
      <c r="M123" s="10">
        <v>12746</v>
      </c>
      <c r="N123" s="11">
        <f t="shared" si="6"/>
        <v>40950.5</v>
      </c>
      <c r="O123" s="11">
        <f>N123+'59a'!P124+'59a'!G124</f>
        <v>848595.6</v>
      </c>
    </row>
    <row r="124" spans="2:15" s="8" customFormat="1" ht="34.9" hidden="1" customHeight="1">
      <c r="B124" s="14">
        <v>41395</v>
      </c>
      <c r="C124" s="6">
        <v>257.2</v>
      </c>
      <c r="D124" s="6">
        <v>1219.5</v>
      </c>
      <c r="E124" s="6">
        <v>955.6</v>
      </c>
      <c r="F124" s="6">
        <v>19.2</v>
      </c>
      <c r="G124" s="6">
        <v>203.1</v>
      </c>
      <c r="H124" s="6">
        <v>1746.4</v>
      </c>
      <c r="I124" s="6">
        <v>7020</v>
      </c>
      <c r="J124" s="6">
        <v>3545.5</v>
      </c>
      <c r="K124" s="6">
        <v>4989</v>
      </c>
      <c r="L124" s="6">
        <v>1420.5</v>
      </c>
      <c r="M124" s="6">
        <v>2528.1999999999998</v>
      </c>
      <c r="N124" s="7">
        <f t="shared" si="6"/>
        <v>23904.2</v>
      </c>
      <c r="O124" s="7">
        <f>N124+'59a'!P125+'59a'!G125</f>
        <v>181426.2</v>
      </c>
    </row>
    <row r="125" spans="2:15" s="8" customFormat="1" ht="34.9" hidden="1" customHeight="1">
      <c r="B125" s="15">
        <v>41426</v>
      </c>
      <c r="C125" s="10">
        <v>1687.4</v>
      </c>
      <c r="D125" s="10">
        <v>870.2</v>
      </c>
      <c r="E125" s="10">
        <v>1515.9</v>
      </c>
      <c r="F125" s="10">
        <v>7.6</v>
      </c>
      <c r="G125" s="10">
        <v>1010.9</v>
      </c>
      <c r="H125" s="10">
        <v>1987.3</v>
      </c>
      <c r="I125" s="10">
        <v>3756.7</v>
      </c>
      <c r="J125" s="10">
        <v>4279.8</v>
      </c>
      <c r="K125" s="10">
        <v>5458.5</v>
      </c>
      <c r="L125" s="10">
        <v>7464.5</v>
      </c>
      <c r="M125" s="10">
        <v>3258.9</v>
      </c>
      <c r="N125" s="11">
        <f t="shared" si="6"/>
        <v>31297.7</v>
      </c>
      <c r="O125" s="11">
        <f>N125+'59a'!P126+'59a'!G126</f>
        <v>234683.7</v>
      </c>
    </row>
    <row r="126" spans="2:15" s="8" customFormat="1" ht="34.9" hidden="1" customHeight="1">
      <c r="B126" s="14">
        <v>41456</v>
      </c>
      <c r="C126" s="6">
        <v>539.5</v>
      </c>
      <c r="D126" s="6">
        <v>7875.9</v>
      </c>
      <c r="E126" s="6">
        <v>952.8</v>
      </c>
      <c r="F126" s="6">
        <v>58.7</v>
      </c>
      <c r="G126" s="6">
        <v>253.9</v>
      </c>
      <c r="H126" s="6">
        <v>2745</v>
      </c>
      <c r="I126" s="6">
        <v>6861.5</v>
      </c>
      <c r="J126" s="6">
        <v>5435.3</v>
      </c>
      <c r="K126" s="6">
        <f>3157.3+4000</f>
        <v>7157.3</v>
      </c>
      <c r="L126" s="6">
        <v>4604.7</v>
      </c>
      <c r="M126" s="6">
        <v>1054.3</v>
      </c>
      <c r="N126" s="7">
        <f t="shared" si="6"/>
        <v>37538.9</v>
      </c>
      <c r="O126" s="7">
        <f>N126+'59a'!P127+'59a'!G127</f>
        <v>155222.79999999999</v>
      </c>
    </row>
    <row r="127" spans="2:15" s="8" customFormat="1" ht="34.9" hidden="1" customHeight="1">
      <c r="B127" s="15">
        <v>41487</v>
      </c>
      <c r="C127" s="10">
        <v>134.30000000000001</v>
      </c>
      <c r="D127" s="10">
        <v>745.1</v>
      </c>
      <c r="E127" s="10">
        <v>920.5</v>
      </c>
      <c r="F127" s="10">
        <v>13.1</v>
      </c>
      <c r="G127" s="10">
        <v>69.2</v>
      </c>
      <c r="H127" s="10">
        <v>2947.9</v>
      </c>
      <c r="I127" s="10">
        <v>2172.5</v>
      </c>
      <c r="J127" s="10">
        <v>2762.2</v>
      </c>
      <c r="K127" s="10">
        <v>1010.7</v>
      </c>
      <c r="L127" s="10">
        <v>1430.1</v>
      </c>
      <c r="M127" s="10">
        <v>1956</v>
      </c>
      <c r="N127" s="11">
        <v>14161.6</v>
      </c>
      <c r="O127" s="11">
        <f>N127+'59a'!P128+'59a'!G128</f>
        <v>111559.961</v>
      </c>
    </row>
    <row r="128" spans="2:15" s="8" customFormat="1" ht="34.9" hidden="1" customHeight="1">
      <c r="B128" s="14">
        <v>41518</v>
      </c>
      <c r="C128" s="6">
        <v>395.2</v>
      </c>
      <c r="D128" s="6">
        <v>600.9</v>
      </c>
      <c r="E128" s="6">
        <v>384.6</v>
      </c>
      <c r="F128" s="6">
        <v>5.2</v>
      </c>
      <c r="G128" s="6">
        <v>336.5</v>
      </c>
      <c r="H128" s="6">
        <v>4401.8</v>
      </c>
      <c r="I128" s="6">
        <v>4368.3</v>
      </c>
      <c r="J128" s="6">
        <v>2066.8000000000002</v>
      </c>
      <c r="K128" s="6">
        <v>1329.3</v>
      </c>
      <c r="L128" s="6">
        <v>5720.7</v>
      </c>
      <c r="M128" s="6">
        <v>2944.3</v>
      </c>
      <c r="N128" s="7">
        <f>SUM(C128:M128)</f>
        <v>22553.599999999999</v>
      </c>
      <c r="O128" s="7">
        <f>N128+'59a'!P129+'59a'!G129</f>
        <v>144408.4</v>
      </c>
    </row>
    <row r="129" spans="2:15" s="8" customFormat="1" ht="34.9" hidden="1" customHeight="1">
      <c r="B129" s="15">
        <v>41548</v>
      </c>
      <c r="C129" s="10">
        <f>203.4+500.6</f>
        <v>704</v>
      </c>
      <c r="D129" s="10">
        <v>3941</v>
      </c>
      <c r="E129" s="10">
        <v>955.4</v>
      </c>
      <c r="F129" s="10">
        <v>10.6</v>
      </c>
      <c r="G129" s="10">
        <v>641.4</v>
      </c>
      <c r="H129" s="10">
        <v>2037.3</v>
      </c>
      <c r="I129" s="10">
        <v>6188.7</v>
      </c>
      <c r="J129" s="10">
        <f>4871.2+1089.6</f>
        <v>5960.7999999999993</v>
      </c>
      <c r="K129" s="10">
        <v>1580.7</v>
      </c>
      <c r="L129" s="10">
        <v>6915.8</v>
      </c>
      <c r="M129" s="10">
        <v>3185.6</v>
      </c>
      <c r="N129" s="11">
        <f>SUM(C129:M129)</f>
        <v>32121.299999999996</v>
      </c>
      <c r="O129" s="11">
        <f>N129+'59a'!P130+'59a'!G130</f>
        <v>147595.20000000001</v>
      </c>
    </row>
    <row r="130" spans="2:15" s="8" customFormat="1" ht="34.9" hidden="1" customHeight="1">
      <c r="B130" s="14">
        <v>41579</v>
      </c>
      <c r="C130" s="6">
        <v>1233.7</v>
      </c>
      <c r="D130" s="6">
        <f>1215.1+500.8</f>
        <v>1715.8999999999999</v>
      </c>
      <c r="E130" s="6">
        <v>1865.9</v>
      </c>
      <c r="F130" s="6">
        <v>0.1</v>
      </c>
      <c r="G130" s="6">
        <v>279.7</v>
      </c>
      <c r="H130" s="6">
        <v>2012.6</v>
      </c>
      <c r="I130" s="6">
        <v>7989.2</v>
      </c>
      <c r="J130" s="6">
        <v>6051.6</v>
      </c>
      <c r="K130" s="6">
        <v>3150.5</v>
      </c>
      <c r="L130" s="6">
        <v>5237</v>
      </c>
      <c r="M130" s="6">
        <v>4273.8</v>
      </c>
      <c r="N130" s="7">
        <f>SUM(C130:M130)</f>
        <v>33810</v>
      </c>
      <c r="O130" s="7">
        <f>N130+'59a'!P131+'59a'!G131</f>
        <v>170461.5</v>
      </c>
    </row>
    <row r="131" spans="2:15" s="8" customFormat="1" ht="34.9" hidden="1" customHeight="1">
      <c r="B131" s="15">
        <v>41609</v>
      </c>
      <c r="C131" s="10">
        <v>886.8</v>
      </c>
      <c r="D131" s="10">
        <v>3781.4</v>
      </c>
      <c r="E131" s="10">
        <v>550.29999999999995</v>
      </c>
      <c r="F131" s="10">
        <v>29.4</v>
      </c>
      <c r="G131" s="10">
        <v>380.5</v>
      </c>
      <c r="H131" s="10">
        <v>5902.1</v>
      </c>
      <c r="I131" s="10">
        <v>14675.8</v>
      </c>
      <c r="J131" s="10">
        <v>4861.2</v>
      </c>
      <c r="K131" s="10">
        <v>2653.7</v>
      </c>
      <c r="L131" s="10">
        <v>2818.1</v>
      </c>
      <c r="M131" s="10">
        <v>2118.6</v>
      </c>
      <c r="N131" s="11">
        <f>SUM(C131:M131)</f>
        <v>38657.899999999994</v>
      </c>
      <c r="O131" s="11">
        <f>N131+'59a'!P132+'59a'!G132</f>
        <v>209616.182</v>
      </c>
    </row>
    <row r="132" spans="2:15" s="8" customFormat="1" ht="34.9" hidden="1" customHeight="1">
      <c r="B132" s="3">
        <v>2014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3"/>
    </row>
    <row r="133" spans="2:15" s="8" customFormat="1" ht="34.9" hidden="1" customHeight="1">
      <c r="B133" s="14">
        <v>41640</v>
      </c>
      <c r="C133" s="6">
        <v>2476.6999999999998</v>
      </c>
      <c r="D133" s="6">
        <v>6118.7</v>
      </c>
      <c r="E133" s="6">
        <v>865</v>
      </c>
      <c r="F133" s="6">
        <v>0.2</v>
      </c>
      <c r="G133" s="6">
        <v>2917.3</v>
      </c>
      <c r="H133" s="6">
        <v>6910.6</v>
      </c>
      <c r="I133" s="6">
        <v>13271.7</v>
      </c>
      <c r="J133" s="6">
        <v>6880</v>
      </c>
      <c r="K133" s="6">
        <v>3968.6</v>
      </c>
      <c r="L133" s="6">
        <v>6075</v>
      </c>
      <c r="M133" s="6">
        <v>1964</v>
      </c>
      <c r="N133" s="7">
        <f t="shared" ref="N133:N144" si="7">SUM(C133:M133)</f>
        <v>51447.799999999996</v>
      </c>
      <c r="O133" s="7">
        <f>N133+'59a'!P134+'59a'!G134</f>
        <v>310136.7</v>
      </c>
    </row>
    <row r="134" spans="2:15" s="8" customFormat="1" ht="34.9" hidden="1" customHeight="1">
      <c r="B134" s="15">
        <v>41671</v>
      </c>
      <c r="C134" s="10">
        <v>1553.6</v>
      </c>
      <c r="D134" s="10">
        <v>7099.2</v>
      </c>
      <c r="E134" s="10">
        <v>1015.1</v>
      </c>
      <c r="F134" s="10">
        <v>0</v>
      </c>
      <c r="G134" s="10">
        <v>1463.4</v>
      </c>
      <c r="H134" s="10">
        <v>3177.7</v>
      </c>
      <c r="I134" s="10">
        <v>6933.5</v>
      </c>
      <c r="J134" s="10">
        <v>3620.5</v>
      </c>
      <c r="K134" s="10">
        <v>2009.6</v>
      </c>
      <c r="L134" s="10">
        <v>2442.3000000000002</v>
      </c>
      <c r="M134" s="10">
        <v>1255.5999999999999</v>
      </c>
      <c r="N134" s="11">
        <f t="shared" si="7"/>
        <v>30570.499999999996</v>
      </c>
      <c r="O134" s="11">
        <f>N134+'59a'!P135+'59a'!G135</f>
        <v>233716.872</v>
      </c>
    </row>
    <row r="135" spans="2:15" s="8" customFormat="1" ht="34.9" hidden="1" customHeight="1">
      <c r="B135" s="14">
        <v>41699</v>
      </c>
      <c r="C135" s="6">
        <v>330.5</v>
      </c>
      <c r="D135" s="6">
        <v>4761.3999999999996</v>
      </c>
      <c r="E135" s="6">
        <v>765.1</v>
      </c>
      <c r="F135" s="6">
        <v>11.9</v>
      </c>
      <c r="G135" s="6">
        <v>412.8</v>
      </c>
      <c r="H135" s="6">
        <v>2405.6</v>
      </c>
      <c r="I135" s="6">
        <v>9977.2000000000007</v>
      </c>
      <c r="J135" s="6">
        <v>2843.6</v>
      </c>
      <c r="K135" s="6">
        <v>830.6</v>
      </c>
      <c r="L135" s="6">
        <v>2777.8</v>
      </c>
      <c r="M135" s="6">
        <v>1901.2</v>
      </c>
      <c r="N135" s="7">
        <f t="shared" si="7"/>
        <v>27017.699999999997</v>
      </c>
      <c r="O135" s="7">
        <f>N135+'59a'!P136+'59a'!G136</f>
        <v>219844.1</v>
      </c>
    </row>
    <row r="136" spans="2:15" s="8" customFormat="1" ht="34.9" hidden="1" customHeight="1">
      <c r="B136" s="15">
        <v>41730</v>
      </c>
      <c r="C136" s="10">
        <v>1437.6</v>
      </c>
      <c r="D136" s="10">
        <v>3838.5</v>
      </c>
      <c r="E136" s="10">
        <v>400.6</v>
      </c>
      <c r="F136" s="10">
        <v>2.5</v>
      </c>
      <c r="G136" s="10">
        <v>668.3</v>
      </c>
      <c r="H136" s="10">
        <v>17849.3</v>
      </c>
      <c r="I136" s="10">
        <v>9608.9</v>
      </c>
      <c r="J136" s="10">
        <v>2481.8000000000002</v>
      </c>
      <c r="K136" s="10">
        <v>1858.4</v>
      </c>
      <c r="L136" s="10">
        <v>4756.1000000000004</v>
      </c>
      <c r="M136" s="10">
        <v>1172</v>
      </c>
      <c r="N136" s="11">
        <f t="shared" si="7"/>
        <v>44074</v>
      </c>
      <c r="O136" s="11">
        <f>N136+'59a'!P137+'59a'!G137</f>
        <v>204295</v>
      </c>
    </row>
    <row r="137" spans="2:15" s="8" customFormat="1" ht="34.9" hidden="1" customHeight="1">
      <c r="B137" s="14">
        <v>41760</v>
      </c>
      <c r="C137" s="6">
        <v>952.2</v>
      </c>
      <c r="D137" s="6">
        <f>4831.3+1552.5</f>
        <v>6383.8</v>
      </c>
      <c r="E137" s="6">
        <v>263.89999999999998</v>
      </c>
      <c r="F137" s="6">
        <v>0.4</v>
      </c>
      <c r="G137" s="6">
        <v>492.3</v>
      </c>
      <c r="H137" s="6">
        <v>3128</v>
      </c>
      <c r="I137" s="6">
        <v>6967.2</v>
      </c>
      <c r="J137" s="6">
        <v>687.1</v>
      </c>
      <c r="K137" s="6">
        <v>675.9</v>
      </c>
      <c r="L137" s="6">
        <v>3507.7</v>
      </c>
      <c r="M137" s="6">
        <v>1167.2</v>
      </c>
      <c r="N137" s="7">
        <f t="shared" si="7"/>
        <v>24225.7</v>
      </c>
      <c r="O137" s="7">
        <f>N137+'59a'!P138+'59a'!G138</f>
        <v>141374.09999999998</v>
      </c>
    </row>
    <row r="138" spans="2:15" s="8" customFormat="1" ht="34.9" hidden="1" customHeight="1">
      <c r="B138" s="15">
        <v>41791</v>
      </c>
      <c r="C138" s="10">
        <v>1801.9</v>
      </c>
      <c r="D138" s="10">
        <v>6026</v>
      </c>
      <c r="E138" s="10">
        <v>345.4</v>
      </c>
      <c r="F138" s="10">
        <v>6.1</v>
      </c>
      <c r="G138" s="10">
        <v>1670.1</v>
      </c>
      <c r="H138" s="10">
        <v>2997.9</v>
      </c>
      <c r="I138" s="10">
        <v>8344</v>
      </c>
      <c r="J138" s="10">
        <v>1439.3</v>
      </c>
      <c r="K138" s="10">
        <v>510.8</v>
      </c>
      <c r="L138" s="10">
        <v>4643.8</v>
      </c>
      <c r="M138" s="10">
        <v>592.5</v>
      </c>
      <c r="N138" s="11">
        <f t="shared" si="7"/>
        <v>28377.8</v>
      </c>
      <c r="O138" s="11">
        <f>N138+'59a'!P139+'59a'!G139</f>
        <v>207809.00000000003</v>
      </c>
    </row>
    <row r="139" spans="2:15" s="8" customFormat="1" ht="34.9" hidden="1" customHeight="1">
      <c r="B139" s="14">
        <v>41821</v>
      </c>
      <c r="C139" s="6">
        <v>1067.297</v>
      </c>
      <c r="D139" s="6">
        <v>7768.7610000000004</v>
      </c>
      <c r="E139" s="6">
        <v>180.303</v>
      </c>
      <c r="F139" s="6">
        <v>1.339</v>
      </c>
      <c r="G139" s="6">
        <v>1567.2729999999999</v>
      </c>
      <c r="H139" s="6">
        <v>1602.423</v>
      </c>
      <c r="I139" s="6">
        <v>2894.0010000000002</v>
      </c>
      <c r="J139" s="6">
        <v>558.93600000000004</v>
      </c>
      <c r="K139" s="6">
        <v>202.28200000000001</v>
      </c>
      <c r="L139" s="6">
        <v>3635.3679999999999</v>
      </c>
      <c r="M139" s="6">
        <v>95.363</v>
      </c>
      <c r="N139" s="7">
        <f t="shared" si="7"/>
        <v>19573.346000000001</v>
      </c>
      <c r="O139" s="7">
        <f>N139+'59a'!P140+'59a'!G140</f>
        <v>103549.295</v>
      </c>
    </row>
    <row r="140" spans="2:15" s="8" customFormat="1" ht="34.9" hidden="1" customHeight="1">
      <c r="B140" s="15">
        <v>41852</v>
      </c>
      <c r="C140" s="10">
        <v>6642.5969999999998</v>
      </c>
      <c r="D140" s="10">
        <v>4169.3509999999997</v>
      </c>
      <c r="E140" s="10">
        <v>123.331</v>
      </c>
      <c r="F140" s="10">
        <v>11.669</v>
      </c>
      <c r="G140" s="10">
        <v>2306.27</v>
      </c>
      <c r="H140" s="10">
        <v>1366.5070000000001</v>
      </c>
      <c r="I140" s="10">
        <v>7691.82</v>
      </c>
      <c r="J140" s="10">
        <v>757.27</v>
      </c>
      <c r="K140" s="10">
        <v>276.06</v>
      </c>
      <c r="L140" s="10">
        <v>2730.5610000000001</v>
      </c>
      <c r="M140" s="10">
        <v>578.18899999999996</v>
      </c>
      <c r="N140" s="11">
        <f t="shared" si="7"/>
        <v>26653.625</v>
      </c>
      <c r="O140" s="11">
        <f>N140+'59a'!P141+'59a'!G141</f>
        <v>122230.53499999999</v>
      </c>
    </row>
    <row r="141" spans="2:15" s="8" customFormat="1" ht="34.9" hidden="1" customHeight="1">
      <c r="B141" s="14">
        <v>41883</v>
      </c>
      <c r="C141" s="6">
        <v>6512.5</v>
      </c>
      <c r="D141" s="6">
        <v>6350.5</v>
      </c>
      <c r="E141" s="6">
        <v>41.8</v>
      </c>
      <c r="F141" s="6">
        <v>6.2</v>
      </c>
      <c r="G141" s="6">
        <v>832.4</v>
      </c>
      <c r="H141" s="6">
        <v>2302.4</v>
      </c>
      <c r="I141" s="6">
        <v>7761.8</v>
      </c>
      <c r="J141" s="6">
        <v>1367.7</v>
      </c>
      <c r="K141" s="6">
        <v>735.1</v>
      </c>
      <c r="L141" s="6">
        <v>4295.3999999999996</v>
      </c>
      <c r="M141" s="6">
        <v>479.1</v>
      </c>
      <c r="N141" s="7">
        <f t="shared" si="7"/>
        <v>30684.899999999994</v>
      </c>
      <c r="O141" s="7">
        <f>N141+'59a'!P142+'59a'!G142</f>
        <v>163532.29999999999</v>
      </c>
    </row>
    <row r="142" spans="2:15" s="8" customFormat="1" ht="34.9" hidden="1" customHeight="1">
      <c r="B142" s="15">
        <v>41913</v>
      </c>
      <c r="C142" s="10">
        <v>2209.9</v>
      </c>
      <c r="D142" s="10">
        <v>7571.2</v>
      </c>
      <c r="E142" s="10">
        <v>151.30000000000001</v>
      </c>
      <c r="F142" s="10">
        <v>3</v>
      </c>
      <c r="G142" s="10">
        <v>1763.9</v>
      </c>
      <c r="H142" s="10">
        <v>1189.9000000000001</v>
      </c>
      <c r="I142" s="10">
        <v>4554.3</v>
      </c>
      <c r="J142" s="10">
        <v>1012.3</v>
      </c>
      <c r="K142" s="10">
        <v>431.6</v>
      </c>
      <c r="L142" s="10">
        <v>3324.5</v>
      </c>
      <c r="M142" s="10">
        <v>78.400000000000006</v>
      </c>
      <c r="N142" s="11">
        <f t="shared" si="7"/>
        <v>22290.3</v>
      </c>
      <c r="O142" s="11">
        <f>N142+'59a'!P143+'59a'!G143</f>
        <v>131833.69999999998</v>
      </c>
    </row>
    <row r="143" spans="2:15" s="8" customFormat="1" ht="34.9" hidden="1" customHeight="1">
      <c r="B143" s="14">
        <v>41944</v>
      </c>
      <c r="C143" s="6">
        <v>2234</v>
      </c>
      <c r="D143" s="6">
        <v>4497.6000000000004</v>
      </c>
      <c r="E143" s="6">
        <v>106.6</v>
      </c>
      <c r="F143" s="6">
        <v>8.5</v>
      </c>
      <c r="G143" s="6">
        <v>910.1</v>
      </c>
      <c r="H143" s="6">
        <v>3186.2</v>
      </c>
      <c r="I143" s="6">
        <v>6614.1</v>
      </c>
      <c r="J143" s="6">
        <v>880.5</v>
      </c>
      <c r="K143" s="6">
        <v>536.1</v>
      </c>
      <c r="L143" s="6">
        <v>3729.4</v>
      </c>
      <c r="M143" s="6">
        <v>196</v>
      </c>
      <c r="N143" s="7">
        <f t="shared" si="7"/>
        <v>22899.1</v>
      </c>
      <c r="O143" s="7">
        <f>N143+'59a'!P144+'59a'!G144</f>
        <v>154403.1</v>
      </c>
    </row>
    <row r="144" spans="2:15" s="8" customFormat="1" ht="34.9" hidden="1" customHeight="1">
      <c r="B144" s="15">
        <v>41974</v>
      </c>
      <c r="C144" s="10">
        <v>2820.2</v>
      </c>
      <c r="D144" s="10">
        <v>11776.9</v>
      </c>
      <c r="E144" s="10">
        <v>147.1</v>
      </c>
      <c r="F144" s="10">
        <v>159.30000000000001</v>
      </c>
      <c r="G144" s="10">
        <v>1096.5</v>
      </c>
      <c r="H144" s="10">
        <v>3686</v>
      </c>
      <c r="I144" s="10">
        <v>6572.3</v>
      </c>
      <c r="J144" s="10">
        <v>1659.3</v>
      </c>
      <c r="K144" s="10">
        <v>6734.3</v>
      </c>
      <c r="L144" s="10">
        <f>14786.3+738.2</f>
        <v>15524.5</v>
      </c>
      <c r="M144" s="10">
        <v>1103.5999999999999</v>
      </c>
      <c r="N144" s="11">
        <f t="shared" si="7"/>
        <v>51280</v>
      </c>
      <c r="O144" s="11">
        <f>N144+'59a'!P145+'59a'!G145</f>
        <v>270680</v>
      </c>
    </row>
    <row r="145" spans="2:15" s="8" customFormat="1" ht="34.9" hidden="1" customHeight="1">
      <c r="B145" s="3">
        <v>2015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3"/>
      <c r="O145" s="13"/>
    </row>
    <row r="146" spans="2:15" s="8" customFormat="1" ht="34.9" hidden="1" customHeight="1">
      <c r="B146" s="14">
        <v>42005</v>
      </c>
      <c r="C146" s="6">
        <v>899.1</v>
      </c>
      <c r="D146" s="6">
        <v>8500.7999999999993</v>
      </c>
      <c r="E146" s="6">
        <v>69.7</v>
      </c>
      <c r="F146" s="6">
        <v>8.8000000000000007</v>
      </c>
      <c r="G146" s="6">
        <v>656.2</v>
      </c>
      <c r="H146" s="6">
        <v>1727.3</v>
      </c>
      <c r="I146" s="6">
        <v>2516.8000000000002</v>
      </c>
      <c r="J146" s="6">
        <v>1208.3</v>
      </c>
      <c r="K146" s="6">
        <v>3599.4</v>
      </c>
      <c r="L146" s="6">
        <v>9535.2999999999993</v>
      </c>
      <c r="M146" s="6">
        <f>665.4+777</f>
        <v>1442.4</v>
      </c>
      <c r="N146" s="7">
        <f t="shared" ref="N146:N153" si="8">SUM(C146:M146)</f>
        <v>30164.100000000002</v>
      </c>
      <c r="O146" s="7">
        <f>N146+'59a'!P147+'59a'!G147</f>
        <v>185603.19999999998</v>
      </c>
    </row>
    <row r="147" spans="2:15" s="8" customFormat="1" ht="34.9" hidden="1" customHeight="1">
      <c r="B147" s="15">
        <v>42036</v>
      </c>
      <c r="C147" s="10">
        <v>760.8</v>
      </c>
      <c r="D147" s="10">
        <v>11415.5</v>
      </c>
      <c r="E147" s="10">
        <v>87.2</v>
      </c>
      <c r="F147" s="10">
        <v>51.7</v>
      </c>
      <c r="G147" s="10">
        <v>569.9</v>
      </c>
      <c r="H147" s="10">
        <v>1304.5999999999999</v>
      </c>
      <c r="I147" s="10">
        <v>5135.5</v>
      </c>
      <c r="J147" s="10">
        <v>1503.7</v>
      </c>
      <c r="K147" s="10">
        <v>5023</v>
      </c>
      <c r="L147" s="10">
        <v>12349.5</v>
      </c>
      <c r="M147" s="10">
        <v>1102.0999999999999</v>
      </c>
      <c r="N147" s="11">
        <f t="shared" si="8"/>
        <v>39303.5</v>
      </c>
      <c r="O147" s="11">
        <f>N147+'59a'!P148+'59a'!G148</f>
        <v>237708.9</v>
      </c>
    </row>
    <row r="148" spans="2:15" s="8" customFormat="1" ht="34.9" hidden="1" customHeight="1">
      <c r="B148" s="14">
        <v>42064</v>
      </c>
      <c r="C148" s="6">
        <v>706.5</v>
      </c>
      <c r="D148" s="6">
        <v>6269.7</v>
      </c>
      <c r="E148" s="6">
        <v>60.6</v>
      </c>
      <c r="F148" s="6">
        <v>1.4</v>
      </c>
      <c r="G148" s="6">
        <v>194.7</v>
      </c>
      <c r="H148" s="6">
        <v>2265.1</v>
      </c>
      <c r="I148" s="6">
        <v>4311.2</v>
      </c>
      <c r="J148" s="6">
        <v>3081.6</v>
      </c>
      <c r="K148" s="6">
        <v>1888.9</v>
      </c>
      <c r="L148" s="6">
        <v>16840</v>
      </c>
      <c r="M148" s="6">
        <v>383.1</v>
      </c>
      <c r="N148" s="7">
        <f t="shared" si="8"/>
        <v>36002.799999999996</v>
      </c>
      <c r="O148" s="7">
        <f>N148+'59a'!P149+'59a'!G149</f>
        <v>223855</v>
      </c>
    </row>
    <row r="149" spans="2:15" s="8" customFormat="1" ht="34.9" hidden="1" customHeight="1">
      <c r="B149" s="15">
        <v>42095</v>
      </c>
      <c r="C149" s="10">
        <v>3361.6</v>
      </c>
      <c r="D149" s="10">
        <v>8768</v>
      </c>
      <c r="E149" s="10">
        <v>34.200000000000003</v>
      </c>
      <c r="F149" s="10">
        <v>95.1</v>
      </c>
      <c r="G149" s="10">
        <v>489.3</v>
      </c>
      <c r="H149" s="10">
        <v>2661.8</v>
      </c>
      <c r="I149" s="10">
        <v>4012.7</v>
      </c>
      <c r="J149" s="10">
        <v>881.5</v>
      </c>
      <c r="K149" s="10">
        <v>483.7</v>
      </c>
      <c r="L149" s="10">
        <f>4633.7+201.9</f>
        <v>4835.5999999999995</v>
      </c>
      <c r="M149" s="10">
        <v>88.7</v>
      </c>
      <c r="N149" s="11">
        <f t="shared" si="8"/>
        <v>25712.2</v>
      </c>
      <c r="O149" s="11">
        <f>N149+'59a'!P150+'59a'!G150</f>
        <v>203424.69999999998</v>
      </c>
    </row>
    <row r="150" spans="2:15" s="8" customFormat="1" ht="34.9" hidden="1" customHeight="1">
      <c r="B150" s="14">
        <v>42125</v>
      </c>
      <c r="C150" s="6">
        <v>1403.1</v>
      </c>
      <c r="D150" s="6">
        <v>2931.3</v>
      </c>
      <c r="E150" s="6">
        <v>38</v>
      </c>
      <c r="F150" s="6">
        <v>14.4</v>
      </c>
      <c r="G150" s="6">
        <v>286.89999999999998</v>
      </c>
      <c r="H150" s="6">
        <v>1449.2</v>
      </c>
      <c r="I150" s="6">
        <v>9840.1</v>
      </c>
      <c r="J150" s="6">
        <v>573</v>
      </c>
      <c r="K150" s="6">
        <v>1725.2</v>
      </c>
      <c r="L150" s="6">
        <v>4147.1000000000004</v>
      </c>
      <c r="M150" s="6">
        <f>2528.2+309.8+314.2</f>
        <v>3152.2</v>
      </c>
      <c r="N150" s="7">
        <f t="shared" si="8"/>
        <v>25560.500000000004</v>
      </c>
      <c r="O150" s="7">
        <f>N150+'59a'!P151+'59a'!G151</f>
        <v>186625.7</v>
      </c>
    </row>
    <row r="151" spans="2:15" s="8" customFormat="1" ht="34.9" hidden="1" customHeight="1">
      <c r="B151" s="15">
        <v>42156</v>
      </c>
      <c r="C151" s="10">
        <v>5703.3</v>
      </c>
      <c r="D151" s="10">
        <v>2176.1999999999998</v>
      </c>
      <c r="E151" s="10">
        <v>764.2</v>
      </c>
      <c r="F151" s="10">
        <v>3.2</v>
      </c>
      <c r="G151" s="10">
        <v>2141</v>
      </c>
      <c r="H151" s="10">
        <v>1042.5999999999999</v>
      </c>
      <c r="I151" s="10">
        <v>4926.3999999999996</v>
      </c>
      <c r="J151" s="10">
        <v>396.7</v>
      </c>
      <c r="K151" s="10">
        <v>1037</v>
      </c>
      <c r="L151" s="10">
        <f>14954.9+637.5</f>
        <v>15592.4</v>
      </c>
      <c r="M151" s="10">
        <v>262.89999999999998</v>
      </c>
      <c r="N151" s="11">
        <f t="shared" si="8"/>
        <v>34045.9</v>
      </c>
      <c r="O151" s="11">
        <f>N151+'59a'!P152+'59a'!G152</f>
        <v>271737.5</v>
      </c>
    </row>
    <row r="152" spans="2:15" s="8" customFormat="1" ht="34.9" hidden="1" customHeight="1">
      <c r="B152" s="14">
        <v>42186</v>
      </c>
      <c r="C152" s="6">
        <v>1475.1</v>
      </c>
      <c r="D152" s="6">
        <v>1435.2</v>
      </c>
      <c r="E152" s="6">
        <v>74.8</v>
      </c>
      <c r="F152" s="6">
        <v>1.1000000000000001</v>
      </c>
      <c r="G152" s="6">
        <v>1167.5</v>
      </c>
      <c r="H152" s="6">
        <v>2342.1</v>
      </c>
      <c r="I152" s="6">
        <v>17816</v>
      </c>
      <c r="J152" s="6">
        <v>168.1</v>
      </c>
      <c r="K152" s="6">
        <v>731.9</v>
      </c>
      <c r="L152" s="6">
        <f>8027.8+402.4+367.5</f>
        <v>8797.7000000000007</v>
      </c>
      <c r="M152" s="6">
        <v>0</v>
      </c>
      <c r="N152" s="7">
        <f t="shared" si="8"/>
        <v>34009.5</v>
      </c>
      <c r="O152" s="7">
        <f>N152+'59a'!P153+'59a'!G153</f>
        <v>591589.4</v>
      </c>
    </row>
    <row r="153" spans="2:15" s="8" customFormat="1" ht="34.9" hidden="1" customHeight="1">
      <c r="B153" s="15">
        <v>42217</v>
      </c>
      <c r="C153" s="10">
        <v>4777.6109999999999</v>
      </c>
      <c r="D153" s="10">
        <v>1300.155</v>
      </c>
      <c r="E153" s="10">
        <v>20.41</v>
      </c>
      <c r="F153" s="10">
        <v>11.884</v>
      </c>
      <c r="G153" s="10">
        <v>1577.7349999999999</v>
      </c>
      <c r="H153" s="10">
        <v>1948.2860000000001</v>
      </c>
      <c r="I153" s="10">
        <v>3574.7950000000001</v>
      </c>
      <c r="J153" s="10">
        <v>2384.8690000000001</v>
      </c>
      <c r="K153" s="10">
        <v>780.14499999999998</v>
      </c>
      <c r="L153" s="10">
        <v>5732.2169999999996</v>
      </c>
      <c r="M153" s="10">
        <v>0</v>
      </c>
      <c r="N153" s="11">
        <f t="shared" si="8"/>
        <v>22108.107</v>
      </c>
      <c r="O153" s="11">
        <f>N153+'59a'!P154+'59a'!G154</f>
        <v>303655.58100000001</v>
      </c>
    </row>
    <row r="154" spans="2:15" s="8" customFormat="1" ht="34.9" hidden="1" customHeight="1">
      <c r="B154" s="14">
        <v>42248</v>
      </c>
      <c r="C154" s="6">
        <v>850</v>
      </c>
      <c r="D154" s="6">
        <v>1368.9</v>
      </c>
      <c r="E154" s="6">
        <v>276.5</v>
      </c>
      <c r="F154" s="6">
        <v>8.3000000000000007</v>
      </c>
      <c r="G154" s="6">
        <v>1137.5999999999999</v>
      </c>
      <c r="H154" s="6">
        <v>1698.2</v>
      </c>
      <c r="I154" s="6">
        <v>2040.1</v>
      </c>
      <c r="J154" s="6">
        <v>6317.7</v>
      </c>
      <c r="K154" s="6">
        <v>910.4</v>
      </c>
      <c r="L154" s="6">
        <v>6157.7</v>
      </c>
      <c r="M154" s="6">
        <v>0</v>
      </c>
      <c r="N154" s="7">
        <v>20765.400000000001</v>
      </c>
      <c r="O154" s="7">
        <f>N154+'59a'!P155+'59a'!G155</f>
        <v>202071.90000000002</v>
      </c>
    </row>
    <row r="155" spans="2:15" s="8" customFormat="1" ht="34.9" hidden="1" customHeight="1">
      <c r="B155" s="15">
        <v>42278</v>
      </c>
      <c r="C155" s="10">
        <v>344.69799999999998</v>
      </c>
      <c r="D155" s="10">
        <v>817.11500000000001</v>
      </c>
      <c r="E155" s="10">
        <v>37.356000000000002</v>
      </c>
      <c r="F155" s="10">
        <v>7.7690000000000001</v>
      </c>
      <c r="G155" s="10">
        <v>3226.1689999999999</v>
      </c>
      <c r="H155" s="10">
        <v>1882.7280000000001</v>
      </c>
      <c r="I155" s="10">
        <v>2674.1419999999998</v>
      </c>
      <c r="J155" s="10">
        <v>4632.0529999999999</v>
      </c>
      <c r="K155" s="10">
        <v>1151.451</v>
      </c>
      <c r="L155" s="10">
        <v>2138.7739999999999</v>
      </c>
      <c r="M155" s="10">
        <v>0</v>
      </c>
      <c r="N155" s="11">
        <f>SUM(C155:M155)</f>
        <v>16912.255000000001</v>
      </c>
      <c r="O155" s="11">
        <f>N155+'59a'!P156+'59a'!G156</f>
        <v>222568.24</v>
      </c>
    </row>
    <row r="156" spans="2:15" s="8" customFormat="1" ht="34.9" hidden="1" customHeight="1">
      <c r="B156" s="14">
        <v>42309</v>
      </c>
      <c r="C156" s="6">
        <v>855.26300000000003</v>
      </c>
      <c r="D156" s="6">
        <v>789.94200000000001</v>
      </c>
      <c r="E156" s="6">
        <v>13.452</v>
      </c>
      <c r="F156" s="6">
        <v>7.2919999999999998</v>
      </c>
      <c r="G156" s="6">
        <v>4174.1279999999997</v>
      </c>
      <c r="H156" s="6">
        <v>10940.532999999999</v>
      </c>
      <c r="I156" s="6">
        <v>2576.9360000000001</v>
      </c>
      <c r="J156" s="6">
        <v>3501.4340000000002</v>
      </c>
      <c r="K156" s="6">
        <v>4662.1329999999998</v>
      </c>
      <c r="L156" s="6">
        <v>2944.616</v>
      </c>
      <c r="M156" s="6">
        <v>0</v>
      </c>
      <c r="N156" s="7">
        <f>SUM(C156:M156)</f>
        <v>30465.729000000007</v>
      </c>
      <c r="O156" s="7">
        <f>N156+'59a'!P157+'59a'!G157</f>
        <v>153078.484</v>
      </c>
    </row>
    <row r="157" spans="2:15" s="8" customFormat="1" ht="34.9" hidden="1" customHeight="1">
      <c r="B157" s="15">
        <v>42339</v>
      </c>
      <c r="C157" s="10">
        <v>612.4</v>
      </c>
      <c r="D157" s="10">
        <v>1448.5</v>
      </c>
      <c r="E157" s="10">
        <v>12.6</v>
      </c>
      <c r="F157" s="10">
        <v>2.8</v>
      </c>
      <c r="G157" s="10">
        <v>4466</v>
      </c>
      <c r="H157" s="10">
        <v>11972.3</v>
      </c>
      <c r="I157" s="10">
        <v>2884.2</v>
      </c>
      <c r="J157" s="10">
        <v>2292.1</v>
      </c>
      <c r="K157" s="10">
        <v>3287.4</v>
      </c>
      <c r="L157" s="10">
        <v>4534.3999999999996</v>
      </c>
      <c r="M157" s="10">
        <v>0</v>
      </c>
      <c r="N157" s="11">
        <f>SUM(C157:M157)</f>
        <v>31512.699999999997</v>
      </c>
      <c r="O157" s="11">
        <f>N157+'59a'!P158+'59a'!G158</f>
        <v>635160.30000000005</v>
      </c>
    </row>
    <row r="158" spans="2:15" s="8" customFormat="1" ht="34.9" hidden="1" customHeight="1">
      <c r="B158" s="3">
        <v>2016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3"/>
      <c r="O158" s="13"/>
    </row>
    <row r="159" spans="2:15" s="8" customFormat="1" ht="34.9" hidden="1" customHeight="1">
      <c r="B159" s="14">
        <v>42370</v>
      </c>
      <c r="C159" s="6">
        <v>490.1</v>
      </c>
      <c r="D159" s="6">
        <v>3666.2</v>
      </c>
      <c r="E159" s="6">
        <v>35.299999999999997</v>
      </c>
      <c r="F159" s="6">
        <v>0.2</v>
      </c>
      <c r="G159" s="6">
        <v>4082.3</v>
      </c>
      <c r="H159" s="6">
        <v>1027.7</v>
      </c>
      <c r="I159" s="6">
        <v>3891.1</v>
      </c>
      <c r="J159" s="6">
        <v>1724.3</v>
      </c>
      <c r="K159" s="6">
        <v>5044</v>
      </c>
      <c r="L159" s="6">
        <v>3272</v>
      </c>
      <c r="M159" s="6">
        <v>0</v>
      </c>
      <c r="N159" s="7">
        <f t="shared" ref="N159:N170" si="9">SUM(C159:M159)</f>
        <v>23233.200000000001</v>
      </c>
      <c r="O159" s="7">
        <f>N159+'59a'!P160+'59a'!G160</f>
        <v>185205.1</v>
      </c>
    </row>
    <row r="160" spans="2:15" s="8" customFormat="1" ht="34.9" hidden="1" customHeight="1">
      <c r="B160" s="15">
        <v>42401</v>
      </c>
      <c r="C160" s="10">
        <v>702.99599999999998</v>
      </c>
      <c r="D160" s="10">
        <v>2437.13</v>
      </c>
      <c r="E160" s="10">
        <v>29.879000000000001</v>
      </c>
      <c r="F160" s="10">
        <v>7.75</v>
      </c>
      <c r="G160" s="10">
        <v>7094.1670000000004</v>
      </c>
      <c r="H160" s="10">
        <v>2547.9789999999998</v>
      </c>
      <c r="I160" s="10">
        <v>4947.9179999999997</v>
      </c>
      <c r="J160" s="10">
        <v>7264.7969999999996</v>
      </c>
      <c r="K160" s="10">
        <v>8341.6090000000004</v>
      </c>
      <c r="L160" s="10">
        <v>7512.8370000000004</v>
      </c>
      <c r="M160" s="10">
        <v>0</v>
      </c>
      <c r="N160" s="11">
        <f t="shared" si="9"/>
        <v>40887.061999999998</v>
      </c>
      <c r="O160" s="11">
        <f>N160+'59a'!P161+'59a'!G161</f>
        <v>219459.995</v>
      </c>
    </row>
    <row r="161" spans="2:15" s="8" customFormat="1" ht="34.9" hidden="1" customHeight="1">
      <c r="B161" s="14">
        <v>42430</v>
      </c>
      <c r="C161" s="6">
        <v>1018.908</v>
      </c>
      <c r="D161" s="6">
        <v>4015.663</v>
      </c>
      <c r="E161" s="6">
        <v>11.877000000000001</v>
      </c>
      <c r="F161" s="6">
        <v>8.4870000000000001</v>
      </c>
      <c r="G161" s="6">
        <v>3943.5929999999998</v>
      </c>
      <c r="H161" s="6">
        <v>49614.777999999998</v>
      </c>
      <c r="I161" s="6">
        <v>3321.9520000000002</v>
      </c>
      <c r="J161" s="6">
        <v>10506.465</v>
      </c>
      <c r="K161" s="6">
        <v>11138.145</v>
      </c>
      <c r="L161" s="6">
        <v>4417.2349999999997</v>
      </c>
      <c r="M161" s="6">
        <v>0</v>
      </c>
      <c r="N161" s="7">
        <f t="shared" si="9"/>
        <v>87997.103000000003</v>
      </c>
      <c r="O161" s="7">
        <f>N161+'59a'!P162+'59a'!G162</f>
        <v>291507.72200000001</v>
      </c>
    </row>
    <row r="162" spans="2:15" s="8" customFormat="1" ht="34.9" hidden="1" customHeight="1">
      <c r="B162" s="15">
        <v>42461</v>
      </c>
      <c r="C162" s="10">
        <v>389</v>
      </c>
      <c r="D162" s="10">
        <v>1776.6</v>
      </c>
      <c r="E162" s="10">
        <v>53.8</v>
      </c>
      <c r="F162" s="10">
        <v>7.8</v>
      </c>
      <c r="G162" s="10">
        <v>10418.299999999999</v>
      </c>
      <c r="H162" s="10">
        <v>14827.1</v>
      </c>
      <c r="I162" s="10">
        <v>5380.1</v>
      </c>
      <c r="J162" s="10">
        <v>6936.4</v>
      </c>
      <c r="K162" s="10">
        <v>2629.4</v>
      </c>
      <c r="L162" s="10">
        <v>3254.7</v>
      </c>
      <c r="M162" s="10">
        <v>0</v>
      </c>
      <c r="N162" s="11">
        <f t="shared" si="9"/>
        <v>45673.2</v>
      </c>
      <c r="O162" s="11">
        <f>N162+'59a'!P163+'59a'!G163</f>
        <v>177559.3</v>
      </c>
    </row>
    <row r="163" spans="2:15" s="8" customFormat="1" ht="34.9" hidden="1" customHeight="1">
      <c r="B163" s="14">
        <v>42491</v>
      </c>
      <c r="C163" s="6">
        <v>2107.6999999999998</v>
      </c>
      <c r="D163" s="6">
        <v>1074.4000000000001</v>
      </c>
      <c r="E163" s="6">
        <v>348.8</v>
      </c>
      <c r="F163" s="6">
        <v>4</v>
      </c>
      <c r="G163" s="6">
        <v>2454.8000000000002</v>
      </c>
      <c r="H163" s="6">
        <v>22170.7</v>
      </c>
      <c r="I163" s="6">
        <v>4998.6000000000004</v>
      </c>
      <c r="J163" s="6">
        <v>5501.7</v>
      </c>
      <c r="K163" s="6">
        <v>4286.2</v>
      </c>
      <c r="L163" s="6">
        <v>3441.3</v>
      </c>
      <c r="M163" s="6">
        <v>0</v>
      </c>
      <c r="N163" s="7">
        <f t="shared" si="9"/>
        <v>46388.2</v>
      </c>
      <c r="O163" s="7">
        <f>N163+'59a'!P164+'59a'!G164</f>
        <v>183257.1</v>
      </c>
    </row>
    <row r="164" spans="2:15" s="8" customFormat="1" ht="34.9" hidden="1" customHeight="1">
      <c r="B164" s="15">
        <v>42522</v>
      </c>
      <c r="C164" s="10">
        <v>297.34899999999999</v>
      </c>
      <c r="D164" s="10">
        <v>1876.904</v>
      </c>
      <c r="E164" s="10">
        <v>219.74</v>
      </c>
      <c r="F164" s="10">
        <v>15.675000000000001</v>
      </c>
      <c r="G164" s="10">
        <v>2660.9679999999998</v>
      </c>
      <c r="H164" s="10">
        <v>2620.8180000000002</v>
      </c>
      <c r="I164" s="10">
        <v>3800.8009999999999</v>
      </c>
      <c r="J164" s="10">
        <v>3589.9119999999998</v>
      </c>
      <c r="K164" s="10">
        <v>5904.9449999999997</v>
      </c>
      <c r="L164" s="10">
        <v>3221.6320000000001</v>
      </c>
      <c r="M164" s="10">
        <v>0</v>
      </c>
      <c r="N164" s="11">
        <f t="shared" si="9"/>
        <v>24208.744000000002</v>
      </c>
      <c r="O164" s="11">
        <f>N164+'59a'!P165+'59a'!G165</f>
        <v>138707.79699999999</v>
      </c>
    </row>
    <row r="165" spans="2:15" s="8" customFormat="1" ht="34.9" hidden="1" customHeight="1">
      <c r="B165" s="14">
        <v>42552</v>
      </c>
      <c r="C165" s="6">
        <v>322.548</v>
      </c>
      <c r="D165" s="6">
        <v>1484.653</v>
      </c>
      <c r="E165" s="6">
        <v>521.649</v>
      </c>
      <c r="F165" s="6">
        <v>0.4</v>
      </c>
      <c r="G165" s="6">
        <v>2293.328</v>
      </c>
      <c r="H165" s="6">
        <v>3063.8110000000001</v>
      </c>
      <c r="I165" s="6">
        <v>2150.1129999999998</v>
      </c>
      <c r="J165" s="6">
        <v>3633.61</v>
      </c>
      <c r="K165" s="6">
        <v>3799.9090000000001</v>
      </c>
      <c r="L165" s="6">
        <v>12736.194</v>
      </c>
      <c r="M165" s="6">
        <v>0</v>
      </c>
      <c r="N165" s="7">
        <f t="shared" si="9"/>
        <v>30006.215</v>
      </c>
      <c r="O165" s="7">
        <f>N165+'59a'!P166+'59a'!G166</f>
        <v>116394.72499999999</v>
      </c>
    </row>
    <row r="166" spans="2:15" s="8" customFormat="1" ht="34.9" hidden="1" customHeight="1">
      <c r="B166" s="15">
        <v>42583</v>
      </c>
      <c r="C166" s="10">
        <v>3897.0880000000002</v>
      </c>
      <c r="D166" s="10">
        <v>10110.564</v>
      </c>
      <c r="E166" s="10">
        <v>1348.058</v>
      </c>
      <c r="F166" s="10">
        <v>46.731000000000002</v>
      </c>
      <c r="G166" s="10">
        <v>906.10500000000002</v>
      </c>
      <c r="H166" s="10">
        <v>5008.3900000000003</v>
      </c>
      <c r="I166" s="10">
        <v>4126.4350000000004</v>
      </c>
      <c r="J166" s="10">
        <v>2712.826</v>
      </c>
      <c r="K166" s="10">
        <v>3907.5039999999999</v>
      </c>
      <c r="L166" s="10">
        <v>10488.941999999999</v>
      </c>
      <c r="M166" s="10">
        <v>0</v>
      </c>
      <c r="N166" s="11">
        <f t="shared" si="9"/>
        <v>42552.642999999996</v>
      </c>
      <c r="O166" s="11">
        <f>N166+'59a'!P167+'59a'!G167</f>
        <v>171748.12400000001</v>
      </c>
    </row>
    <row r="167" spans="2:15" s="8" customFormat="1" ht="34.9" hidden="1" customHeight="1">
      <c r="B167" s="14">
        <v>42614</v>
      </c>
      <c r="C167" s="6">
        <v>7811.5860000000002</v>
      </c>
      <c r="D167" s="6">
        <v>3587.163</v>
      </c>
      <c r="E167" s="6">
        <v>350.024</v>
      </c>
      <c r="F167" s="6">
        <v>1.4159999999999999</v>
      </c>
      <c r="G167" s="6">
        <v>347.00599999999997</v>
      </c>
      <c r="H167" s="6">
        <v>3368.01</v>
      </c>
      <c r="I167" s="6">
        <v>3401.0309999999999</v>
      </c>
      <c r="J167" s="6">
        <v>7433.1090000000004</v>
      </c>
      <c r="K167" s="6">
        <v>2202.5549999999998</v>
      </c>
      <c r="L167" s="6">
        <v>4235.1750000000002</v>
      </c>
      <c r="M167" s="6">
        <v>0</v>
      </c>
      <c r="N167" s="7">
        <f t="shared" si="9"/>
        <v>32737.074999999997</v>
      </c>
      <c r="O167" s="7">
        <f>N167+'59a'!P168+'59a'!G168</f>
        <v>138694.23699999999</v>
      </c>
    </row>
    <row r="168" spans="2:15" s="8" customFormat="1" ht="34.9" hidden="1" customHeight="1">
      <c r="B168" s="15">
        <v>42644</v>
      </c>
      <c r="C168" s="10">
        <v>1000.671</v>
      </c>
      <c r="D168" s="10">
        <v>1937.15</v>
      </c>
      <c r="E168" s="10">
        <v>80.052999999999997</v>
      </c>
      <c r="F168" s="10">
        <v>9.6620000000000008</v>
      </c>
      <c r="G168" s="10">
        <v>1052.681</v>
      </c>
      <c r="H168" s="10">
        <v>14941.002</v>
      </c>
      <c r="I168" s="10">
        <v>3091.6840000000002</v>
      </c>
      <c r="J168" s="10">
        <v>2382.61</v>
      </c>
      <c r="K168" s="10">
        <v>2669.7150000000001</v>
      </c>
      <c r="L168" s="10">
        <v>12048.493</v>
      </c>
      <c r="M168" s="10">
        <v>0</v>
      </c>
      <c r="N168" s="11">
        <f t="shared" si="9"/>
        <v>39213.721000000005</v>
      </c>
      <c r="O168" s="11">
        <f>N168+'59a'!P169+'59a'!G169</f>
        <v>176051.46300000002</v>
      </c>
    </row>
    <row r="169" spans="2:15" s="8" customFormat="1" ht="34.9" hidden="1" customHeight="1">
      <c r="B169" s="14">
        <v>42675</v>
      </c>
      <c r="C169" s="6">
        <v>3727.9319999999998</v>
      </c>
      <c r="D169" s="6">
        <v>4940.9030000000002</v>
      </c>
      <c r="E169" s="6">
        <v>410.745</v>
      </c>
      <c r="F169" s="6">
        <v>21.43</v>
      </c>
      <c r="G169" s="6">
        <v>1381.701</v>
      </c>
      <c r="H169" s="6">
        <v>124988.414</v>
      </c>
      <c r="I169" s="6">
        <v>78301.342000000004</v>
      </c>
      <c r="J169" s="6">
        <v>1813.5250000000001</v>
      </c>
      <c r="K169" s="6">
        <v>2023.1079999999999</v>
      </c>
      <c r="L169" s="6">
        <v>13869.995000000001</v>
      </c>
      <c r="M169" s="6">
        <v>0</v>
      </c>
      <c r="N169" s="7">
        <f t="shared" si="9"/>
        <v>231479.095</v>
      </c>
      <c r="O169" s="7">
        <f>N169+'59a'!P170+'59a'!G170</f>
        <v>358335.40899999999</v>
      </c>
    </row>
    <row r="170" spans="2:15" s="8" customFormat="1" ht="34.9" hidden="1" customHeight="1">
      <c r="B170" s="15">
        <v>42705</v>
      </c>
      <c r="C170" s="10">
        <v>1476.1769999999999</v>
      </c>
      <c r="D170" s="10">
        <v>2267.2179999999998</v>
      </c>
      <c r="E170" s="10">
        <v>286.88600000000002</v>
      </c>
      <c r="F170" s="10">
        <v>3.4689999999999999</v>
      </c>
      <c r="G170" s="10">
        <v>1763.5329999999999</v>
      </c>
      <c r="H170" s="10">
        <v>38560.370999999999</v>
      </c>
      <c r="I170" s="10">
        <v>3675.5529999999999</v>
      </c>
      <c r="J170" s="10">
        <v>836.82799999999997</v>
      </c>
      <c r="K170" s="10">
        <v>861.46799999999996</v>
      </c>
      <c r="L170" s="10">
        <v>9611.232</v>
      </c>
      <c r="M170" s="10">
        <v>0</v>
      </c>
      <c r="N170" s="11">
        <f t="shared" si="9"/>
        <v>59342.735000000001</v>
      </c>
      <c r="O170" s="11">
        <f>N170+'59a'!P171+'59a'!G171</f>
        <v>172545.21400000001</v>
      </c>
    </row>
    <row r="171" spans="2:15" s="8" customFormat="1" ht="34.9" hidden="1" customHeight="1">
      <c r="B171" s="3">
        <v>2017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3"/>
      <c r="O171" s="13"/>
    </row>
    <row r="172" spans="2:15" s="8" customFormat="1" ht="34.9" hidden="1" customHeight="1">
      <c r="B172" s="14">
        <v>42736</v>
      </c>
      <c r="C172" s="6">
        <v>1610.6120000000001</v>
      </c>
      <c r="D172" s="6">
        <v>2255.835</v>
      </c>
      <c r="E172" s="6">
        <v>706.84199999999998</v>
      </c>
      <c r="F172" s="6">
        <v>1.125</v>
      </c>
      <c r="G172" s="6">
        <v>1362.2070000000001</v>
      </c>
      <c r="H172" s="6">
        <v>169324.65599999999</v>
      </c>
      <c r="I172" s="6">
        <v>2341.0169999999998</v>
      </c>
      <c r="J172" s="6">
        <v>2467.9180000000001</v>
      </c>
      <c r="K172" s="6">
        <v>2503.848</v>
      </c>
      <c r="L172" s="6">
        <v>9546.8629999999994</v>
      </c>
      <c r="M172" s="6">
        <v>0</v>
      </c>
      <c r="N172" s="7">
        <f t="shared" ref="N172:N183" si="10">SUM(C172:M172)</f>
        <v>192120.92300000001</v>
      </c>
      <c r="O172" s="7">
        <f>N172+'59a'!P173+'59a'!G173</f>
        <v>443418.38599999994</v>
      </c>
    </row>
    <row r="173" spans="2:15" s="8" customFormat="1" ht="34.9" hidden="1" customHeight="1">
      <c r="B173" s="15">
        <v>42767</v>
      </c>
      <c r="C173" s="10">
        <v>2818.8209999999999</v>
      </c>
      <c r="D173" s="10">
        <v>1917.2260000000001</v>
      </c>
      <c r="E173" s="10">
        <v>446.58699999999999</v>
      </c>
      <c r="F173" s="10">
        <v>2.56</v>
      </c>
      <c r="G173" s="10">
        <v>1659.847</v>
      </c>
      <c r="H173" s="10">
        <v>39385.908000000003</v>
      </c>
      <c r="I173" s="10">
        <v>4729.2380000000003</v>
      </c>
      <c r="J173" s="10">
        <v>3608.9380000000001</v>
      </c>
      <c r="K173" s="10">
        <v>1133.171</v>
      </c>
      <c r="L173" s="10">
        <v>3898.9290000000001</v>
      </c>
      <c r="M173" s="10">
        <v>0</v>
      </c>
      <c r="N173" s="11">
        <f t="shared" si="10"/>
        <v>59601.225000000006</v>
      </c>
      <c r="O173" s="11">
        <f>N173+'59a'!P174+'59a'!G174</f>
        <v>1035500.657</v>
      </c>
    </row>
    <row r="174" spans="2:15" s="8" customFormat="1" ht="34.9" hidden="1" customHeight="1">
      <c r="B174" s="14">
        <v>42795</v>
      </c>
      <c r="C174" s="6">
        <v>1109.75</v>
      </c>
      <c r="D174" s="6">
        <v>1909.146</v>
      </c>
      <c r="E174" s="6">
        <v>13.015000000000001</v>
      </c>
      <c r="F174" s="6">
        <v>35.616999999999997</v>
      </c>
      <c r="G174" s="6">
        <v>831.4</v>
      </c>
      <c r="H174" s="6">
        <v>18335.845000000001</v>
      </c>
      <c r="I174" s="6">
        <v>15994.146000000001</v>
      </c>
      <c r="J174" s="6">
        <v>1403.923</v>
      </c>
      <c r="K174" s="6">
        <v>907.84199999999998</v>
      </c>
      <c r="L174" s="6">
        <v>7230.9030000000002</v>
      </c>
      <c r="M174" s="6">
        <v>0</v>
      </c>
      <c r="N174" s="7">
        <f t="shared" si="10"/>
        <v>47771.587</v>
      </c>
      <c r="O174" s="7">
        <f>N174+'59a'!P175+'59a'!G175</f>
        <v>189501.11799999999</v>
      </c>
    </row>
    <row r="175" spans="2:15" s="8" customFormat="1" ht="34.9" hidden="1" customHeight="1">
      <c r="B175" s="15">
        <v>42826</v>
      </c>
      <c r="C175" s="10">
        <v>242.15</v>
      </c>
      <c r="D175" s="10">
        <v>1371.723</v>
      </c>
      <c r="E175" s="10">
        <v>12.821999999999999</v>
      </c>
      <c r="F175" s="10">
        <v>3.6989999999999998</v>
      </c>
      <c r="G175" s="10">
        <v>1711.721</v>
      </c>
      <c r="H175" s="10">
        <v>12221.901</v>
      </c>
      <c r="I175" s="10">
        <v>33220.563999999998</v>
      </c>
      <c r="J175" s="10">
        <v>1162.635</v>
      </c>
      <c r="K175" s="10">
        <v>1903.0889999999999</v>
      </c>
      <c r="L175" s="10">
        <v>3400.8270000000002</v>
      </c>
      <c r="M175" s="10">
        <v>0</v>
      </c>
      <c r="N175" s="11">
        <f t="shared" si="10"/>
        <v>55251.131000000001</v>
      </c>
      <c r="O175" s="11">
        <f>N175+'59a'!P176+'59a'!G176</f>
        <v>203898.06</v>
      </c>
    </row>
    <row r="176" spans="2:15" s="8" customFormat="1" ht="34.9" hidden="1" customHeight="1">
      <c r="B176" s="14">
        <v>42856</v>
      </c>
      <c r="C176" s="6">
        <v>352.69400000000002</v>
      </c>
      <c r="D176" s="6">
        <v>2452.4229999999998</v>
      </c>
      <c r="E176" s="6">
        <v>0</v>
      </c>
      <c r="F176" s="6">
        <v>25.4</v>
      </c>
      <c r="G176" s="6">
        <v>1185.402</v>
      </c>
      <c r="H176" s="6">
        <v>24177.829000000002</v>
      </c>
      <c r="I176" s="6">
        <v>13488.058999999999</v>
      </c>
      <c r="J176" s="6">
        <v>1257.1569999999999</v>
      </c>
      <c r="K176" s="6">
        <v>1971.258</v>
      </c>
      <c r="L176" s="6">
        <v>4760.1419999999998</v>
      </c>
      <c r="M176" s="6">
        <v>0</v>
      </c>
      <c r="N176" s="7">
        <f t="shared" si="10"/>
        <v>49670.364000000001</v>
      </c>
      <c r="O176" s="7">
        <f>N176+'59a'!P177+'59a'!G177</f>
        <v>162317.48199999999</v>
      </c>
    </row>
    <row r="177" spans="2:15" s="8" customFormat="1" ht="34.9" hidden="1" customHeight="1">
      <c r="B177" s="15">
        <v>42887</v>
      </c>
      <c r="C177" s="10">
        <v>270.64699999999999</v>
      </c>
      <c r="D177" s="10">
        <v>1268.569</v>
      </c>
      <c r="E177" s="10">
        <v>0</v>
      </c>
      <c r="F177" s="10">
        <v>2.8959999999999999</v>
      </c>
      <c r="G177" s="10">
        <v>255.554</v>
      </c>
      <c r="H177" s="10">
        <v>19492.842000000001</v>
      </c>
      <c r="I177" s="10">
        <v>4472.9709999999995</v>
      </c>
      <c r="J177" s="10">
        <v>860.71199999999999</v>
      </c>
      <c r="K177" s="10">
        <v>471.21600000000001</v>
      </c>
      <c r="L177" s="10">
        <v>2861.5459999999998</v>
      </c>
      <c r="M177" s="10">
        <v>0</v>
      </c>
      <c r="N177" s="11">
        <f t="shared" si="10"/>
        <v>29956.952999999998</v>
      </c>
      <c r="O177" s="11">
        <f>N177+'59a'!P178+'59a'!G178</f>
        <v>138001.16899999999</v>
      </c>
    </row>
    <row r="178" spans="2:15" s="8" customFormat="1" ht="34.9" hidden="1" customHeight="1">
      <c r="B178" s="14">
        <v>42917</v>
      </c>
      <c r="C178" s="6">
        <v>387.048</v>
      </c>
      <c r="D178" s="6">
        <v>6115.5450000000001</v>
      </c>
      <c r="E178" s="6">
        <v>0</v>
      </c>
      <c r="F178" s="6">
        <v>13.205</v>
      </c>
      <c r="G178" s="6">
        <v>594.30399999999997</v>
      </c>
      <c r="H178" s="6">
        <v>40525.898000000001</v>
      </c>
      <c r="I178" s="6">
        <v>10901.173000000001</v>
      </c>
      <c r="J178" s="6">
        <v>1239.116</v>
      </c>
      <c r="K178" s="6">
        <v>1463.232</v>
      </c>
      <c r="L178" s="6">
        <v>2798.0230000000001</v>
      </c>
      <c r="M178" s="6">
        <v>0</v>
      </c>
      <c r="N178" s="7">
        <f t="shared" si="10"/>
        <v>64037.544000000009</v>
      </c>
      <c r="O178" s="7">
        <f>N178+'59a'!P179+'59a'!G179</f>
        <v>179359.49300000002</v>
      </c>
    </row>
    <row r="179" spans="2:15" s="8" customFormat="1" ht="34.9" hidden="1" customHeight="1">
      <c r="B179" s="15">
        <v>42948</v>
      </c>
      <c r="C179" s="10">
        <v>616.97799999999995</v>
      </c>
      <c r="D179" s="10">
        <v>6470.2439999999997</v>
      </c>
      <c r="E179" s="10">
        <v>0</v>
      </c>
      <c r="F179" s="10">
        <v>17.204999999999998</v>
      </c>
      <c r="G179" s="10">
        <v>1245.7809999999999</v>
      </c>
      <c r="H179" s="10">
        <f>23826.569+390+1892.644+910+1444.222</f>
        <v>28463.435000000001</v>
      </c>
      <c r="I179" s="10">
        <v>5738.7340000000004</v>
      </c>
      <c r="J179" s="10">
        <v>1470.7239999999999</v>
      </c>
      <c r="K179" s="10">
        <v>1767.4570000000001</v>
      </c>
      <c r="L179" s="10">
        <v>1555.4860000000001</v>
      </c>
      <c r="M179" s="10">
        <v>0</v>
      </c>
      <c r="N179" s="11">
        <f t="shared" si="10"/>
        <v>47346.043999999994</v>
      </c>
      <c r="O179" s="11">
        <f>N179+'59a'!P180+'59a'!G180</f>
        <v>140097.05649999998</v>
      </c>
    </row>
    <row r="180" spans="2:15" s="8" customFormat="1" ht="34.9" hidden="1" customHeight="1">
      <c r="B180" s="14">
        <v>42979</v>
      </c>
      <c r="C180" s="6">
        <v>531.46699999999998</v>
      </c>
      <c r="D180" s="6">
        <v>5414.5439999999999</v>
      </c>
      <c r="E180" s="6">
        <v>0</v>
      </c>
      <c r="F180" s="6">
        <v>78.813999999999993</v>
      </c>
      <c r="G180" s="6">
        <v>208.83</v>
      </c>
      <c r="H180" s="6">
        <v>2329.9229999999998</v>
      </c>
      <c r="I180" s="6">
        <v>8052.9260000000004</v>
      </c>
      <c r="J180" s="6">
        <v>1306.5150000000001</v>
      </c>
      <c r="K180" s="6">
        <v>1539.241</v>
      </c>
      <c r="L180" s="6">
        <v>3328.8510000000001</v>
      </c>
      <c r="M180" s="6">
        <v>0</v>
      </c>
      <c r="N180" s="7">
        <f t="shared" si="10"/>
        <v>22791.111000000001</v>
      </c>
      <c r="O180" s="7">
        <f>N180+'59a'!P181+'59a'!G181</f>
        <v>86224.73000000001</v>
      </c>
    </row>
    <row r="181" spans="2:15" s="8" customFormat="1" ht="34.9" hidden="1" customHeight="1">
      <c r="B181" s="15">
        <v>43009</v>
      </c>
      <c r="C181" s="10">
        <v>1203.787</v>
      </c>
      <c r="D181" s="10">
        <v>4823.6490000000003</v>
      </c>
      <c r="E181" s="10">
        <v>0</v>
      </c>
      <c r="F181" s="10">
        <v>0</v>
      </c>
      <c r="G181" s="10">
        <v>361.73399999999998</v>
      </c>
      <c r="H181" s="10">
        <v>12189.44</v>
      </c>
      <c r="I181" s="10">
        <v>5133.8649999999998</v>
      </c>
      <c r="J181" s="10">
        <v>1169.174</v>
      </c>
      <c r="K181" s="10">
        <v>1512.059</v>
      </c>
      <c r="L181" s="10">
        <v>3931.1860000000001</v>
      </c>
      <c r="M181" s="10">
        <v>0</v>
      </c>
      <c r="N181" s="11">
        <f t="shared" si="10"/>
        <v>30324.894</v>
      </c>
      <c r="O181" s="11">
        <f>N181+'59a'!P182+'59a'!G182</f>
        <v>110342.65899999999</v>
      </c>
    </row>
    <row r="182" spans="2:15" s="8" customFormat="1" ht="34.9" hidden="1" customHeight="1">
      <c r="B182" s="14">
        <v>43040</v>
      </c>
      <c r="C182" s="6">
        <v>808.423</v>
      </c>
      <c r="D182" s="6">
        <v>3355.0010000000002</v>
      </c>
      <c r="E182" s="6">
        <v>0</v>
      </c>
      <c r="F182" s="6">
        <v>5.1420000000000003</v>
      </c>
      <c r="G182" s="6">
        <v>826.50900000000001</v>
      </c>
      <c r="H182" s="6">
        <v>7570.9849999999997</v>
      </c>
      <c r="I182" s="6">
        <v>4006.9670000000001</v>
      </c>
      <c r="J182" s="6">
        <v>1419.886</v>
      </c>
      <c r="K182" s="6">
        <v>875.64</v>
      </c>
      <c r="L182" s="6">
        <v>5225.0770000000002</v>
      </c>
      <c r="M182" s="6">
        <v>0</v>
      </c>
      <c r="N182" s="7">
        <f t="shared" si="10"/>
        <v>24093.629999999997</v>
      </c>
      <c r="O182" s="7">
        <f>N182+'59a'!P183+'59a'!G183</f>
        <v>112840.82199999999</v>
      </c>
    </row>
    <row r="183" spans="2:15" s="8" customFormat="1" ht="34.9" hidden="1" customHeight="1">
      <c r="B183" s="15">
        <v>43070</v>
      </c>
      <c r="C183" s="10">
        <v>298.899</v>
      </c>
      <c r="D183" s="10">
        <v>2794.0569999999998</v>
      </c>
      <c r="E183" s="10">
        <v>0</v>
      </c>
      <c r="F183" s="10">
        <v>0</v>
      </c>
      <c r="G183" s="10">
        <v>14952.771000000001</v>
      </c>
      <c r="H183" s="10">
        <v>4144.8469999999998</v>
      </c>
      <c r="I183" s="10">
        <v>5492.357</v>
      </c>
      <c r="J183" s="10">
        <v>1166.2349999999999</v>
      </c>
      <c r="K183" s="10">
        <v>1076.1310000000001</v>
      </c>
      <c r="L183" s="10">
        <v>2859.0949999999998</v>
      </c>
      <c r="M183" s="10">
        <v>0</v>
      </c>
      <c r="N183" s="11">
        <f t="shared" si="10"/>
        <v>32784.392</v>
      </c>
      <c r="O183" s="11">
        <f>N183+'59a'!P184+'59a'!G184</f>
        <v>124731.90100000001</v>
      </c>
    </row>
    <row r="184" spans="2:15" s="8" customFormat="1" ht="34.9" hidden="1" customHeight="1">
      <c r="B184" s="3">
        <v>2018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3"/>
      <c r="O184" s="13"/>
    </row>
    <row r="185" spans="2:15" s="8" customFormat="1" ht="34.9" hidden="1" customHeight="1">
      <c r="B185" s="14">
        <v>43101</v>
      </c>
      <c r="C185" s="6">
        <v>841.59</v>
      </c>
      <c r="D185" s="6">
        <v>5704.9870000000001</v>
      </c>
      <c r="E185" s="6">
        <v>0</v>
      </c>
      <c r="F185" s="6">
        <v>3.28</v>
      </c>
      <c r="G185" s="6">
        <v>2923.3530000000001</v>
      </c>
      <c r="H185" s="6">
        <v>9123.3950000000004</v>
      </c>
      <c r="I185" s="6">
        <v>4735.4889999999996</v>
      </c>
      <c r="J185" s="6">
        <v>2993.8409999999999</v>
      </c>
      <c r="K185" s="6">
        <v>1257.998</v>
      </c>
      <c r="L185" s="6">
        <v>6553.1350000000002</v>
      </c>
      <c r="M185" s="6">
        <v>0</v>
      </c>
      <c r="N185" s="7">
        <f t="shared" ref="N185:N196" si="11">SUM(C185:M185)</f>
        <v>34137.067999999999</v>
      </c>
      <c r="O185" s="7">
        <f>N185+'59a'!G186+'59a'!P186</f>
        <v>114022.997</v>
      </c>
    </row>
    <row r="186" spans="2:15" s="8" customFormat="1" ht="34.9" hidden="1" customHeight="1">
      <c r="B186" s="15">
        <v>43132</v>
      </c>
      <c r="C186" s="10">
        <v>815.83699999999999</v>
      </c>
      <c r="D186" s="10">
        <v>2822.2429999999999</v>
      </c>
      <c r="E186" s="10">
        <v>0</v>
      </c>
      <c r="F186" s="10">
        <v>0</v>
      </c>
      <c r="G186" s="10">
        <v>582.19799999999998</v>
      </c>
      <c r="H186" s="10">
        <v>8724.7510000000002</v>
      </c>
      <c r="I186" s="10">
        <v>12838.714</v>
      </c>
      <c r="J186" s="10">
        <v>1089.692</v>
      </c>
      <c r="K186" s="10">
        <v>1290.953</v>
      </c>
      <c r="L186" s="10">
        <v>4424.8590000000004</v>
      </c>
      <c r="M186" s="10">
        <v>0</v>
      </c>
      <c r="N186" s="11">
        <f t="shared" si="11"/>
        <v>32589.247000000003</v>
      </c>
      <c r="O186" s="11">
        <f>N186+'59a'!G187+'59a'!P187</f>
        <v>138919.378</v>
      </c>
    </row>
    <row r="187" spans="2:15" s="8" customFormat="1" ht="34.9" hidden="1" customHeight="1">
      <c r="B187" s="14">
        <v>43160</v>
      </c>
      <c r="C187" s="6">
        <v>585.94399999999996</v>
      </c>
      <c r="D187" s="6">
        <v>2823.5749999999998</v>
      </c>
      <c r="E187" s="6">
        <v>0</v>
      </c>
      <c r="F187" s="6">
        <v>3.3000000000000002E-2</v>
      </c>
      <c r="G187" s="6">
        <v>255.99299999999999</v>
      </c>
      <c r="H187" s="6">
        <v>11520.27</v>
      </c>
      <c r="I187" s="6">
        <v>7281.8239999999996</v>
      </c>
      <c r="J187" s="6">
        <v>2241.739</v>
      </c>
      <c r="K187" s="6">
        <v>2923.5259999999998</v>
      </c>
      <c r="L187" s="6">
        <v>6924.9110000000001</v>
      </c>
      <c r="M187" s="6">
        <v>0</v>
      </c>
      <c r="N187" s="7">
        <f t="shared" si="11"/>
        <v>34557.815000000002</v>
      </c>
      <c r="O187" s="7">
        <f>N187+'59a'!G188+'59a'!P188</f>
        <v>131668.34400000001</v>
      </c>
    </row>
    <row r="188" spans="2:15" s="8" customFormat="1" ht="34.9" hidden="1" customHeight="1">
      <c r="B188" s="15">
        <v>43191</v>
      </c>
      <c r="C188" s="10">
        <v>446.08800000000002</v>
      </c>
      <c r="D188" s="10">
        <v>1465.1759999999999</v>
      </c>
      <c r="E188" s="10">
        <v>0</v>
      </c>
      <c r="F188" s="10">
        <v>0.34899999999999998</v>
      </c>
      <c r="G188" s="10">
        <v>296.125</v>
      </c>
      <c r="H188" s="10">
        <v>5420.56</v>
      </c>
      <c r="I188" s="10">
        <v>4085.5309999999999</v>
      </c>
      <c r="J188" s="10">
        <v>2588.569</v>
      </c>
      <c r="K188" s="10">
        <v>2464.52</v>
      </c>
      <c r="L188" s="10">
        <v>1669.309</v>
      </c>
      <c r="M188" s="10">
        <v>0</v>
      </c>
      <c r="N188" s="11">
        <f t="shared" si="11"/>
        <v>18436.227000000003</v>
      </c>
      <c r="O188" s="11">
        <f>N188+'59a'!G189+'59a'!P189</f>
        <v>114124.40700000001</v>
      </c>
    </row>
    <row r="189" spans="2:15" s="8" customFormat="1" ht="34.9" hidden="1" customHeight="1">
      <c r="B189" s="14">
        <v>43221</v>
      </c>
      <c r="C189" s="6">
        <v>675.76499999999999</v>
      </c>
      <c r="D189" s="6">
        <v>2637.2539999999999</v>
      </c>
      <c r="E189" s="6">
        <v>0</v>
      </c>
      <c r="F189" s="6">
        <v>2.4529999999999998</v>
      </c>
      <c r="G189" s="6">
        <v>257.89</v>
      </c>
      <c r="H189" s="6">
        <v>9075.6479999999992</v>
      </c>
      <c r="I189" s="6">
        <v>98027.563999999998</v>
      </c>
      <c r="J189" s="6">
        <v>1386.5360000000001</v>
      </c>
      <c r="K189" s="6">
        <v>705.69200000000001</v>
      </c>
      <c r="L189" s="6">
        <v>1520.5719999999999</v>
      </c>
      <c r="M189" s="6">
        <v>0</v>
      </c>
      <c r="N189" s="7">
        <f t="shared" si="11"/>
        <v>114289.37399999998</v>
      </c>
      <c r="O189" s="7">
        <f>N189+'59a'!G190+'59a'!P190</f>
        <v>207481.75499999998</v>
      </c>
    </row>
    <row r="190" spans="2:15" s="8" customFormat="1" ht="34.9" hidden="1" customHeight="1">
      <c r="B190" s="15">
        <v>43252</v>
      </c>
      <c r="C190" s="10">
        <v>111.721</v>
      </c>
      <c r="D190" s="10">
        <v>1045.7560000000001</v>
      </c>
      <c r="E190" s="10">
        <v>0</v>
      </c>
      <c r="F190" s="10">
        <v>3.407</v>
      </c>
      <c r="G190" s="10">
        <v>45.746000000000002</v>
      </c>
      <c r="H190" s="10">
        <v>3265.8359999999998</v>
      </c>
      <c r="I190" s="10">
        <v>6426.4549999999999</v>
      </c>
      <c r="J190" s="10">
        <v>1514.325</v>
      </c>
      <c r="K190" s="10">
        <v>175.72900000000001</v>
      </c>
      <c r="L190" s="10">
        <v>2209.3989999999999</v>
      </c>
      <c r="M190" s="10">
        <v>0</v>
      </c>
      <c r="N190" s="11">
        <f t="shared" si="11"/>
        <v>14798.374</v>
      </c>
      <c r="O190" s="11">
        <f>N190+'59a'!G191+'59a'!P191</f>
        <v>74870.296000000002</v>
      </c>
    </row>
    <row r="191" spans="2:15" s="8" customFormat="1" ht="34.9" hidden="1" customHeight="1">
      <c r="B191" s="14">
        <v>43282</v>
      </c>
      <c r="C191" s="6">
        <v>328.041</v>
      </c>
      <c r="D191" s="6">
        <v>741.42700000000002</v>
      </c>
      <c r="E191" s="6">
        <v>8.5739999999999998</v>
      </c>
      <c r="F191" s="6">
        <v>19.016999999999999</v>
      </c>
      <c r="G191" s="6">
        <v>71.381</v>
      </c>
      <c r="H191" s="6">
        <v>1974.404</v>
      </c>
      <c r="I191" s="6">
        <v>5459.9120000000003</v>
      </c>
      <c r="J191" s="6">
        <v>1444.739</v>
      </c>
      <c r="K191" s="6">
        <v>755.81799999999998</v>
      </c>
      <c r="L191" s="6">
        <v>1678.683</v>
      </c>
      <c r="M191" s="6">
        <v>0</v>
      </c>
      <c r="N191" s="7">
        <f t="shared" si="11"/>
        <v>12481.995999999999</v>
      </c>
      <c r="O191" s="7">
        <f>N191+'59a'!G192+'59a'!P192</f>
        <v>105518.39800000002</v>
      </c>
    </row>
    <row r="192" spans="2:15" s="8" customFormat="1" ht="34.9" hidden="1" customHeight="1">
      <c r="B192" s="15">
        <v>43313</v>
      </c>
      <c r="C192" s="10">
        <v>272.96699999999998</v>
      </c>
      <c r="D192" s="10">
        <v>894.42200000000003</v>
      </c>
      <c r="E192" s="10">
        <v>4.0250000000000004</v>
      </c>
      <c r="F192" s="10">
        <v>5.9619999999999997</v>
      </c>
      <c r="G192" s="10">
        <v>243.62799999999999</v>
      </c>
      <c r="H192" s="10">
        <v>14440.659</v>
      </c>
      <c r="I192" s="10">
        <v>2957.06</v>
      </c>
      <c r="J192" s="10">
        <v>2725.1109999999999</v>
      </c>
      <c r="K192" s="10">
        <v>358.01600000000002</v>
      </c>
      <c r="L192" s="10">
        <v>1246.2840000000001</v>
      </c>
      <c r="M192" s="10">
        <v>0</v>
      </c>
      <c r="N192" s="11">
        <f t="shared" si="11"/>
        <v>23148.134000000002</v>
      </c>
      <c r="O192" s="11">
        <f>N192+'59a'!G193+'59a'!P193</f>
        <v>191619.32200000001</v>
      </c>
    </row>
    <row r="193" spans="2:15" s="8" customFormat="1" ht="34.9" hidden="1" customHeight="1">
      <c r="B193" s="14">
        <v>43344</v>
      </c>
      <c r="C193" s="6">
        <v>343.85599999999999</v>
      </c>
      <c r="D193" s="6">
        <v>1031.694</v>
      </c>
      <c r="E193" s="6">
        <v>2.339</v>
      </c>
      <c r="F193" s="6">
        <v>0.72599999999999998</v>
      </c>
      <c r="G193" s="6">
        <v>91.23</v>
      </c>
      <c r="H193" s="6">
        <v>6821.43</v>
      </c>
      <c r="I193" s="6">
        <v>3256.8679999999999</v>
      </c>
      <c r="J193" s="6">
        <v>6225.1660000000002</v>
      </c>
      <c r="K193" s="6">
        <v>403.89499999999998</v>
      </c>
      <c r="L193" s="6">
        <v>2505.3789999999999</v>
      </c>
      <c r="M193" s="6">
        <v>0</v>
      </c>
      <c r="N193" s="7">
        <f t="shared" si="11"/>
        <v>20682.583000000002</v>
      </c>
      <c r="O193" s="7">
        <f>N193+'59a'!G194+'59a'!P194</f>
        <v>84036.28</v>
      </c>
    </row>
    <row r="194" spans="2:15" s="8" customFormat="1" ht="34.9" hidden="1" customHeight="1">
      <c r="B194" s="15">
        <v>43374</v>
      </c>
      <c r="C194" s="10">
        <v>280.47300000000001</v>
      </c>
      <c r="D194" s="10">
        <v>5338.2780000000002</v>
      </c>
      <c r="E194" s="10">
        <v>8.7430000000000003</v>
      </c>
      <c r="F194" s="10">
        <v>3.0609999999999999</v>
      </c>
      <c r="G194" s="10">
        <v>182.76</v>
      </c>
      <c r="H194" s="10">
        <v>10781.569</v>
      </c>
      <c r="I194" s="10">
        <v>331911.96100000001</v>
      </c>
      <c r="J194" s="10">
        <v>11601.626</v>
      </c>
      <c r="K194" s="10">
        <v>1293.077</v>
      </c>
      <c r="L194" s="10">
        <v>1997.4369999999999</v>
      </c>
      <c r="M194" s="10">
        <v>0</v>
      </c>
      <c r="N194" s="11">
        <f t="shared" si="11"/>
        <v>363398.98499999999</v>
      </c>
      <c r="O194" s="11">
        <f>N194+'59a'!G195+'59a'!P195</f>
        <v>464008.84699999995</v>
      </c>
    </row>
    <row r="195" spans="2:15" s="8" customFormat="1" ht="34.9" hidden="1" customHeight="1">
      <c r="B195" s="14">
        <v>43405</v>
      </c>
      <c r="C195" s="6">
        <v>404.11</v>
      </c>
      <c r="D195" s="6">
        <v>3010.1239999999998</v>
      </c>
      <c r="E195" s="6">
        <v>0.95099999999999996</v>
      </c>
      <c r="F195" s="6">
        <v>0.161</v>
      </c>
      <c r="G195" s="6">
        <v>128.01400000000001</v>
      </c>
      <c r="H195" s="6">
        <v>4284.7299999999996</v>
      </c>
      <c r="I195" s="6">
        <v>4394.3959999999997</v>
      </c>
      <c r="J195" s="6">
        <v>6605.982</v>
      </c>
      <c r="K195" s="6">
        <v>1181.1959999999999</v>
      </c>
      <c r="L195" s="6">
        <v>1621.672</v>
      </c>
      <c r="M195" s="6">
        <v>0</v>
      </c>
      <c r="N195" s="7">
        <f t="shared" si="11"/>
        <v>21631.335999999999</v>
      </c>
      <c r="O195" s="7">
        <f>N195+'59a'!G196+'59a'!P196</f>
        <v>100976.837</v>
      </c>
    </row>
    <row r="196" spans="2:15" s="8" customFormat="1" ht="34.9" hidden="1" customHeight="1">
      <c r="B196" s="15">
        <v>43435</v>
      </c>
      <c r="C196" s="10">
        <v>688.20799999999997</v>
      </c>
      <c r="D196" s="10">
        <v>1778.2360000000001</v>
      </c>
      <c r="E196" s="10">
        <v>0</v>
      </c>
      <c r="F196" s="10">
        <v>0.56200000000000006</v>
      </c>
      <c r="G196" s="10">
        <v>483.35599999999999</v>
      </c>
      <c r="H196" s="10">
        <v>280191.02100000001</v>
      </c>
      <c r="I196" s="10">
        <v>3035.422</v>
      </c>
      <c r="J196" s="10">
        <v>7224.2920000000004</v>
      </c>
      <c r="K196" s="10">
        <v>504.88400000000001</v>
      </c>
      <c r="L196" s="10">
        <v>4232.01</v>
      </c>
      <c r="M196" s="10">
        <v>0</v>
      </c>
      <c r="N196" s="11">
        <f t="shared" si="11"/>
        <v>298137.9910000001</v>
      </c>
      <c r="O196" s="11">
        <f>N196+'59a'!G197+'59a'!P197</f>
        <v>592079.12100000004</v>
      </c>
    </row>
    <row r="197" spans="2:15" s="8" customFormat="1" ht="34.9" hidden="1" customHeight="1">
      <c r="B197" s="3">
        <v>2019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3"/>
    </row>
    <row r="198" spans="2:15" s="8" customFormat="1" ht="34.9" hidden="1" customHeight="1">
      <c r="B198" s="14">
        <v>43466</v>
      </c>
      <c r="C198" s="6">
        <v>566.67200000000003</v>
      </c>
      <c r="D198" s="6">
        <v>1709.3589999999999</v>
      </c>
      <c r="E198" s="6">
        <v>0.61699999999999999</v>
      </c>
      <c r="F198" s="6">
        <v>1.208</v>
      </c>
      <c r="G198" s="6">
        <v>537.24699999999996</v>
      </c>
      <c r="H198" s="6">
        <v>21806.955999999998</v>
      </c>
      <c r="I198" s="6">
        <v>3394.0740000000001</v>
      </c>
      <c r="J198" s="6">
        <v>1605.788</v>
      </c>
      <c r="K198" s="6">
        <v>354.10700000000003</v>
      </c>
      <c r="L198" s="6">
        <v>1315.546</v>
      </c>
      <c r="M198" s="6">
        <v>0</v>
      </c>
      <c r="N198" s="7">
        <f t="shared" ref="N198:N209" si="12">SUM(C198:M198)</f>
        <v>31291.573999999997</v>
      </c>
      <c r="O198" s="7">
        <f>N198+'59a'!P199+'59a'!G199</f>
        <v>90894.370999999999</v>
      </c>
    </row>
    <row r="199" spans="2:15" s="8" customFormat="1" ht="34.9" hidden="1" customHeight="1">
      <c r="B199" s="15">
        <v>43497</v>
      </c>
      <c r="C199" s="10">
        <v>698.60900000000004</v>
      </c>
      <c r="D199" s="10">
        <v>717.59400000000005</v>
      </c>
      <c r="E199" s="10">
        <v>3.2690000000000001</v>
      </c>
      <c r="F199" s="10">
        <v>0</v>
      </c>
      <c r="G199" s="10">
        <v>305.48700000000002</v>
      </c>
      <c r="H199" s="10">
        <v>4095.319</v>
      </c>
      <c r="I199" s="10">
        <v>1676.046</v>
      </c>
      <c r="J199" s="10">
        <v>1381.633</v>
      </c>
      <c r="K199" s="10">
        <v>341.976</v>
      </c>
      <c r="L199" s="10">
        <v>1011.153</v>
      </c>
      <c r="M199" s="10">
        <v>0</v>
      </c>
      <c r="N199" s="11">
        <f t="shared" si="12"/>
        <v>10231.086000000001</v>
      </c>
      <c r="O199" s="11">
        <f>N199+'59a'!P200+'59a'!G200</f>
        <v>97204.164000000019</v>
      </c>
    </row>
    <row r="200" spans="2:15" s="8" customFormat="1" ht="34.9" hidden="1" customHeight="1">
      <c r="B200" s="14">
        <v>43525</v>
      </c>
      <c r="C200" s="6">
        <v>433.8</v>
      </c>
      <c r="D200" s="6">
        <v>2257.665</v>
      </c>
      <c r="E200" s="6">
        <v>25.1</v>
      </c>
      <c r="F200" s="6">
        <v>0</v>
      </c>
      <c r="G200" s="6">
        <v>1458.521</v>
      </c>
      <c r="H200" s="6">
        <v>3731.6370000000002</v>
      </c>
      <c r="I200" s="6">
        <v>1711.203</v>
      </c>
      <c r="J200" s="6">
        <v>3210.6669999999999</v>
      </c>
      <c r="K200" s="6">
        <v>327.65100000000001</v>
      </c>
      <c r="L200" s="6">
        <v>4172.9390000000003</v>
      </c>
      <c r="M200" s="6">
        <v>0</v>
      </c>
      <c r="N200" s="7">
        <f t="shared" si="12"/>
        <v>17329.182999999997</v>
      </c>
      <c r="O200" s="7">
        <f>N200+'59a'!P201+'59a'!G201</f>
        <v>165949.04700000002</v>
      </c>
    </row>
    <row r="201" spans="2:15" s="8" customFormat="1" ht="34.9" hidden="1" customHeight="1">
      <c r="B201" s="15">
        <v>43556</v>
      </c>
      <c r="C201" s="10">
        <v>3289.9839999999999</v>
      </c>
      <c r="D201" s="10">
        <v>3104.6750000000002</v>
      </c>
      <c r="E201" s="10">
        <v>12.236000000000001</v>
      </c>
      <c r="F201" s="10">
        <v>0</v>
      </c>
      <c r="G201" s="10">
        <v>1330.4670000000001</v>
      </c>
      <c r="H201" s="10">
        <v>3605.5430000000001</v>
      </c>
      <c r="I201" s="10">
        <v>34042.49</v>
      </c>
      <c r="J201" s="10">
        <v>3313.317</v>
      </c>
      <c r="K201" s="10">
        <v>206.45099999999999</v>
      </c>
      <c r="L201" s="10">
        <v>961.80700000000002</v>
      </c>
      <c r="M201" s="10">
        <v>0</v>
      </c>
      <c r="N201" s="11">
        <f t="shared" si="12"/>
        <v>49866.97</v>
      </c>
      <c r="O201" s="11">
        <f>N201+'59a'!P202+'59a'!G202</f>
        <v>134078.96600000001</v>
      </c>
    </row>
    <row r="202" spans="2:15" s="8" customFormat="1" ht="34.9" hidden="1" customHeight="1">
      <c r="B202" s="14">
        <v>43586</v>
      </c>
      <c r="C202" s="6">
        <v>1022.79</v>
      </c>
      <c r="D202" s="6">
        <v>3006.1889999999999</v>
      </c>
      <c r="E202" s="6">
        <v>4.95</v>
      </c>
      <c r="F202" s="6">
        <v>0</v>
      </c>
      <c r="G202" s="6">
        <v>2532.5070000000001</v>
      </c>
      <c r="H202" s="6">
        <v>4455.9750000000004</v>
      </c>
      <c r="I202" s="6">
        <v>5199.7250000000004</v>
      </c>
      <c r="J202" s="6">
        <v>1279.606</v>
      </c>
      <c r="K202" s="6">
        <v>219.791</v>
      </c>
      <c r="L202" s="6">
        <v>1678.86</v>
      </c>
      <c r="M202" s="6">
        <v>0</v>
      </c>
      <c r="N202" s="7">
        <f t="shared" si="12"/>
        <v>19400.393000000004</v>
      </c>
      <c r="O202" s="7">
        <f>N202+'59a'!P203+'59a'!G203</f>
        <v>82758.292000000001</v>
      </c>
    </row>
    <row r="203" spans="2:15" s="8" customFormat="1" ht="34.9" hidden="1" customHeight="1">
      <c r="B203" s="15">
        <v>43617</v>
      </c>
      <c r="C203" s="10">
        <v>140.21299999999999</v>
      </c>
      <c r="D203" s="10">
        <v>2686.6120000000001</v>
      </c>
      <c r="E203" s="10">
        <v>0</v>
      </c>
      <c r="F203" s="10">
        <v>0</v>
      </c>
      <c r="G203" s="10">
        <v>2621.78</v>
      </c>
      <c r="H203" s="10">
        <v>9839.0949999999993</v>
      </c>
      <c r="I203" s="10">
        <v>6726.8419999999996</v>
      </c>
      <c r="J203" s="10">
        <v>1122.4549999999999</v>
      </c>
      <c r="K203" s="10">
        <v>593.37800000000004</v>
      </c>
      <c r="L203" s="10">
        <v>520.60299999999995</v>
      </c>
      <c r="M203" s="10">
        <v>0</v>
      </c>
      <c r="N203" s="11">
        <f t="shared" si="12"/>
        <v>24250.978000000003</v>
      </c>
      <c r="O203" s="11">
        <f>N203+'59a'!P204+'59a'!G204</f>
        <v>97180.873999999996</v>
      </c>
    </row>
    <row r="204" spans="2:15" s="8" customFormat="1" ht="34.9" hidden="1" customHeight="1">
      <c r="B204" s="14">
        <v>43647</v>
      </c>
      <c r="C204" s="6">
        <v>426.80900000000003</v>
      </c>
      <c r="D204" s="6">
        <v>1969.3150000000001</v>
      </c>
      <c r="E204" s="6">
        <v>0</v>
      </c>
      <c r="F204" s="6">
        <v>0</v>
      </c>
      <c r="G204" s="6">
        <v>2647.9940000000001</v>
      </c>
      <c r="H204" s="6">
        <v>12321.535</v>
      </c>
      <c r="I204" s="6">
        <v>11602.166999999999</v>
      </c>
      <c r="J204" s="6">
        <v>1198.75</v>
      </c>
      <c r="K204" s="6">
        <v>574.58600000000001</v>
      </c>
      <c r="L204" s="6">
        <v>4831.6059999999998</v>
      </c>
      <c r="M204" s="6">
        <v>0</v>
      </c>
      <c r="N204" s="7">
        <f t="shared" si="12"/>
        <v>35572.762000000002</v>
      </c>
      <c r="O204" s="7">
        <f>N204+'59a'!P205+'59a'!G205</f>
        <v>149743.522</v>
      </c>
    </row>
    <row r="205" spans="2:15" s="8" customFormat="1" ht="34.9" hidden="1" customHeight="1">
      <c r="B205" s="15">
        <v>43678</v>
      </c>
      <c r="C205" s="10">
        <v>90.856999999999999</v>
      </c>
      <c r="D205" s="10">
        <v>3238.4009999999998</v>
      </c>
      <c r="E205" s="10">
        <v>0</v>
      </c>
      <c r="F205" s="10">
        <v>0</v>
      </c>
      <c r="G205" s="10">
        <v>2156.4340000000002</v>
      </c>
      <c r="H205" s="10">
        <v>2766.5920000000001</v>
      </c>
      <c r="I205" s="10">
        <v>3937.096</v>
      </c>
      <c r="J205" s="10">
        <v>1374.691</v>
      </c>
      <c r="K205" s="10">
        <v>458.05700000000002</v>
      </c>
      <c r="L205" s="10">
        <v>4768.2569999999996</v>
      </c>
      <c r="M205" s="10">
        <v>0</v>
      </c>
      <c r="N205" s="11">
        <f t="shared" si="12"/>
        <v>18790.385000000002</v>
      </c>
      <c r="O205" s="11">
        <f>N205+'59a'!P206+'59a'!G206</f>
        <v>107985.14599999999</v>
      </c>
    </row>
    <row r="206" spans="2:15" s="8" customFormat="1" ht="34.9" hidden="1" customHeight="1">
      <c r="B206" s="14">
        <v>43709</v>
      </c>
      <c r="C206" s="6">
        <v>126.688</v>
      </c>
      <c r="D206" s="6">
        <v>4354.2299999999996</v>
      </c>
      <c r="E206" s="6">
        <v>0</v>
      </c>
      <c r="F206" s="6">
        <v>0</v>
      </c>
      <c r="G206" s="6">
        <v>2632.4720000000002</v>
      </c>
      <c r="H206" s="6">
        <v>2842.2310000000002</v>
      </c>
      <c r="I206" s="6">
        <v>1815.05</v>
      </c>
      <c r="J206" s="6">
        <v>1671.4670000000001</v>
      </c>
      <c r="K206" s="6">
        <v>2345.337</v>
      </c>
      <c r="L206" s="6">
        <v>5066.116</v>
      </c>
      <c r="M206" s="6">
        <v>0</v>
      </c>
      <c r="N206" s="7">
        <f t="shared" si="12"/>
        <v>20853.591</v>
      </c>
      <c r="O206" s="7">
        <f>N206+'59a'!P207+'59a'!G207</f>
        <v>151996.84</v>
      </c>
    </row>
    <row r="207" spans="2:15" s="8" customFormat="1" ht="34.9" hidden="1" customHeight="1">
      <c r="B207" s="15">
        <v>43739</v>
      </c>
      <c r="C207" s="10">
        <v>529.16200000000003</v>
      </c>
      <c r="D207" s="10">
        <v>3357.7440000000001</v>
      </c>
      <c r="E207" s="10">
        <v>0</v>
      </c>
      <c r="F207" s="10">
        <v>0</v>
      </c>
      <c r="G207" s="10">
        <v>2049.88</v>
      </c>
      <c r="H207" s="10">
        <v>2478.7280000000001</v>
      </c>
      <c r="I207" s="10">
        <v>2719.5970000000002</v>
      </c>
      <c r="J207" s="10">
        <v>1739.25</v>
      </c>
      <c r="K207" s="10">
        <v>4100.5590000000002</v>
      </c>
      <c r="L207" s="10">
        <v>4275.433</v>
      </c>
      <c r="M207" s="10">
        <v>0</v>
      </c>
      <c r="N207" s="11">
        <f t="shared" si="12"/>
        <v>21250.352999999999</v>
      </c>
      <c r="O207" s="11">
        <f>N207+'59a'!P208+'59a'!G208</f>
        <v>259266.34399999998</v>
      </c>
    </row>
    <row r="208" spans="2:15" s="8" customFormat="1" ht="34.9" hidden="1" customHeight="1">
      <c r="B208" s="14">
        <v>43770</v>
      </c>
      <c r="C208" s="6">
        <v>652.67700000000002</v>
      </c>
      <c r="D208" s="6">
        <v>2153.509</v>
      </c>
      <c r="E208" s="6">
        <v>0</v>
      </c>
      <c r="F208" s="6">
        <v>0</v>
      </c>
      <c r="G208" s="6">
        <v>5049.3919999999998</v>
      </c>
      <c r="H208" s="6">
        <v>1137.67</v>
      </c>
      <c r="I208" s="6">
        <v>4312.9520000000002</v>
      </c>
      <c r="J208" s="6">
        <v>1403.1279999999999</v>
      </c>
      <c r="K208" s="6">
        <v>1509.8889999999999</v>
      </c>
      <c r="L208" s="6">
        <v>3323.232</v>
      </c>
      <c r="M208" s="6">
        <v>0</v>
      </c>
      <c r="N208" s="7">
        <f t="shared" si="12"/>
        <v>19542.449000000001</v>
      </c>
      <c r="O208" s="7">
        <f>N208+'59a'!P209+'59a'!G209</f>
        <v>89913.498999999996</v>
      </c>
    </row>
    <row r="209" spans="2:15" s="8" customFormat="1" ht="34.9" hidden="1" customHeight="1">
      <c r="B209" s="15">
        <v>43800</v>
      </c>
      <c r="C209" s="10">
        <v>231.328</v>
      </c>
      <c r="D209" s="10">
        <v>1396.0609999999999</v>
      </c>
      <c r="E209" s="10">
        <v>0</v>
      </c>
      <c r="F209" s="10">
        <v>0</v>
      </c>
      <c r="G209" s="10">
        <v>4262.79</v>
      </c>
      <c r="H209" s="10">
        <v>6281.5320000000002</v>
      </c>
      <c r="I209" s="10">
        <v>2676.2750000000001</v>
      </c>
      <c r="J209" s="10">
        <v>951.23699999999997</v>
      </c>
      <c r="K209" s="10">
        <v>1084.7629999999999</v>
      </c>
      <c r="L209" s="10">
        <v>4100.8819999999996</v>
      </c>
      <c r="M209" s="10">
        <v>0</v>
      </c>
      <c r="N209" s="11">
        <f t="shared" si="12"/>
        <v>20984.867999999995</v>
      </c>
      <c r="O209" s="11">
        <f>N209+'59a'!P210+'59a'!G210</f>
        <v>158466.43399999998</v>
      </c>
    </row>
    <row r="210" spans="2:15" s="8" customFormat="1" ht="34.9" hidden="1" customHeight="1">
      <c r="B210" s="3">
        <v>2020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3"/>
      <c r="O210" s="13"/>
    </row>
    <row r="211" spans="2:15" s="8" customFormat="1" ht="34.9" hidden="1" customHeight="1">
      <c r="B211" s="14">
        <v>43831</v>
      </c>
      <c r="C211" s="6">
        <v>381.25900000000001</v>
      </c>
      <c r="D211" s="6">
        <v>1631.7429999999999</v>
      </c>
      <c r="E211" s="6">
        <v>0</v>
      </c>
      <c r="F211" s="6">
        <v>0</v>
      </c>
      <c r="G211" s="6">
        <v>1605.549</v>
      </c>
      <c r="H211" s="6">
        <v>1508.4059999999999</v>
      </c>
      <c r="I211" s="6">
        <v>3750.3679999999999</v>
      </c>
      <c r="J211" s="6">
        <v>589.404</v>
      </c>
      <c r="K211" s="6">
        <v>599.56399999999996</v>
      </c>
      <c r="L211" s="6">
        <v>2815.2539999999999</v>
      </c>
      <c r="M211" s="6">
        <v>0</v>
      </c>
      <c r="N211" s="7">
        <f t="shared" ref="N211:N221" si="13">SUM(C211:M211)</f>
        <v>12881.547000000002</v>
      </c>
      <c r="O211" s="7">
        <f>N211+'59a'!G212+'59a'!P212</f>
        <v>105029.853</v>
      </c>
    </row>
    <row r="212" spans="2:15" s="8" customFormat="1" ht="34.9" hidden="1" customHeight="1">
      <c r="B212" s="15">
        <v>43862</v>
      </c>
      <c r="C212" s="10">
        <v>661.64200000000005</v>
      </c>
      <c r="D212" s="10">
        <v>893.54499999999996</v>
      </c>
      <c r="E212" s="10">
        <v>0</v>
      </c>
      <c r="F212" s="10">
        <v>0</v>
      </c>
      <c r="G212" s="10">
        <v>3565.9009999999998</v>
      </c>
      <c r="H212" s="10">
        <v>2807.6129999999998</v>
      </c>
      <c r="I212" s="10">
        <v>5053.75</v>
      </c>
      <c r="J212" s="10">
        <v>487.65100000000001</v>
      </c>
      <c r="K212" s="10">
        <v>1984.412</v>
      </c>
      <c r="L212" s="10">
        <v>2152.6750000000002</v>
      </c>
      <c r="M212" s="10">
        <v>0</v>
      </c>
      <c r="N212" s="11">
        <f t="shared" si="13"/>
        <v>17607.188999999998</v>
      </c>
      <c r="O212" s="11">
        <f>N212+'59a'!G213+'59a'!P213</f>
        <v>122290.52899999999</v>
      </c>
    </row>
    <row r="213" spans="2:15" s="8" customFormat="1" ht="34.9" hidden="1" customHeight="1">
      <c r="B213" s="14" t="s">
        <v>129</v>
      </c>
      <c r="C213" s="6">
        <v>271.16800000000001</v>
      </c>
      <c r="D213" s="6">
        <v>599.33100000000002</v>
      </c>
      <c r="E213" s="6">
        <v>0</v>
      </c>
      <c r="F213" s="6">
        <v>0</v>
      </c>
      <c r="G213" s="6">
        <v>1248.4359999999999</v>
      </c>
      <c r="H213" s="6">
        <v>2403.623</v>
      </c>
      <c r="I213" s="6">
        <v>5121.0460000000003</v>
      </c>
      <c r="J213" s="6">
        <v>422.80700000000002</v>
      </c>
      <c r="K213" s="6">
        <v>1638.2339999999999</v>
      </c>
      <c r="L213" s="6">
        <v>987.07899999999995</v>
      </c>
      <c r="M213" s="6">
        <v>0</v>
      </c>
      <c r="N213" s="7">
        <f t="shared" si="13"/>
        <v>12691.724</v>
      </c>
      <c r="O213" s="7">
        <f>N213+'59a'!G214+'59a'!P214</f>
        <v>57044.826000000008</v>
      </c>
    </row>
    <row r="214" spans="2:15" s="8" customFormat="1" ht="34.9" hidden="1" customHeight="1">
      <c r="B214" s="15">
        <v>43952</v>
      </c>
      <c r="C214" s="10">
        <v>54.679000000000002</v>
      </c>
      <c r="D214" s="10">
        <v>698.36800000000005</v>
      </c>
      <c r="E214" s="10">
        <v>0</v>
      </c>
      <c r="F214" s="10">
        <v>0</v>
      </c>
      <c r="G214" s="10">
        <v>1494.2159999999999</v>
      </c>
      <c r="H214" s="10">
        <v>879.048</v>
      </c>
      <c r="I214" s="10">
        <v>1769.155</v>
      </c>
      <c r="J214" s="10">
        <v>297.04399999999998</v>
      </c>
      <c r="K214" s="10">
        <v>101.81</v>
      </c>
      <c r="L214" s="10">
        <v>6.3630000000000004</v>
      </c>
      <c r="M214" s="10">
        <v>0</v>
      </c>
      <c r="N214" s="11">
        <f t="shared" si="13"/>
        <v>5300.683</v>
      </c>
      <c r="O214" s="11">
        <f>N214+'59a'!G215+'59a'!P215</f>
        <v>31267.258000000002</v>
      </c>
    </row>
    <row r="215" spans="2:15" s="8" customFormat="1" ht="34.9" hidden="1" customHeight="1">
      <c r="B215" s="14">
        <v>43983</v>
      </c>
      <c r="C215" s="6">
        <v>368.36099999999999</v>
      </c>
      <c r="D215" s="6">
        <v>3750.7689999999998</v>
      </c>
      <c r="E215" s="6">
        <v>0</v>
      </c>
      <c r="F215" s="6">
        <v>0</v>
      </c>
      <c r="G215" s="6">
        <v>823.72299999999996</v>
      </c>
      <c r="H215" s="6">
        <v>2924.5659999999998</v>
      </c>
      <c r="I215" s="6">
        <v>5226.0349999999999</v>
      </c>
      <c r="J215" s="6">
        <v>738.29499999999996</v>
      </c>
      <c r="K215" s="6">
        <v>986.43100000000004</v>
      </c>
      <c r="L215" s="6">
        <v>724.00300000000004</v>
      </c>
      <c r="M215" s="6">
        <v>0</v>
      </c>
      <c r="N215" s="7">
        <f t="shared" si="13"/>
        <v>15542.183000000001</v>
      </c>
      <c r="O215" s="7">
        <f>N215+'59a'!G216+'59a'!P216</f>
        <v>99976.844000000012</v>
      </c>
    </row>
    <row r="216" spans="2:15" s="8" customFormat="1" ht="34.9" hidden="1" customHeight="1">
      <c r="B216" s="15">
        <v>44013</v>
      </c>
      <c r="C216" s="10">
        <v>226.71899999999999</v>
      </c>
      <c r="D216" s="10">
        <v>2291.384</v>
      </c>
      <c r="E216" s="10">
        <v>0</v>
      </c>
      <c r="F216" s="10">
        <v>0</v>
      </c>
      <c r="G216" s="10">
        <v>906.41</v>
      </c>
      <c r="H216" s="10">
        <v>2483.9810000000002</v>
      </c>
      <c r="I216" s="10">
        <v>3434.8879999999999</v>
      </c>
      <c r="J216" s="10">
        <v>848.66399999999999</v>
      </c>
      <c r="K216" s="10">
        <v>477.62400000000002</v>
      </c>
      <c r="L216" s="10">
        <v>706.827</v>
      </c>
      <c r="M216" s="10">
        <v>0</v>
      </c>
      <c r="N216" s="11">
        <f t="shared" si="13"/>
        <v>11376.497000000001</v>
      </c>
      <c r="O216" s="11">
        <f>N216+'59a'!G217+'59a'!P217</f>
        <v>101497.848</v>
      </c>
    </row>
    <row r="217" spans="2:15" s="8" customFormat="1" ht="34.9" hidden="1" customHeight="1">
      <c r="B217" s="14">
        <v>44044</v>
      </c>
      <c r="C217" s="6">
        <v>289.57400000000001</v>
      </c>
      <c r="D217" s="6">
        <v>1536.1469999999999</v>
      </c>
      <c r="E217" s="6">
        <v>0</v>
      </c>
      <c r="F217" s="6">
        <v>0</v>
      </c>
      <c r="G217" s="6">
        <v>7869.0450000000001</v>
      </c>
      <c r="H217" s="6">
        <v>3689.0619999999999</v>
      </c>
      <c r="I217" s="6">
        <v>4142.4129999999996</v>
      </c>
      <c r="J217" s="6">
        <v>291.22699999999998</v>
      </c>
      <c r="K217" s="6">
        <v>1058.856</v>
      </c>
      <c r="L217" s="6">
        <v>20.803000000000001</v>
      </c>
      <c r="M217" s="6">
        <v>0</v>
      </c>
      <c r="N217" s="7">
        <f t="shared" si="13"/>
        <v>18897.126999999997</v>
      </c>
      <c r="O217" s="7">
        <f>N217+'59a'!G218+'59a'!P218</f>
        <v>93279.298999999999</v>
      </c>
    </row>
    <row r="218" spans="2:15" s="8" customFormat="1" ht="34.9" hidden="1" customHeight="1">
      <c r="B218" s="15">
        <v>44075</v>
      </c>
      <c r="C218" s="10">
        <v>418.62099999999998</v>
      </c>
      <c r="D218" s="10">
        <v>5381.4309999999996</v>
      </c>
      <c r="E218" s="10">
        <v>0</v>
      </c>
      <c r="F218" s="10">
        <v>0</v>
      </c>
      <c r="G218" s="10">
        <v>2114.9009999999998</v>
      </c>
      <c r="H218" s="10">
        <v>3588.607</v>
      </c>
      <c r="I218" s="10">
        <v>5750.2169999999996</v>
      </c>
      <c r="J218" s="10">
        <v>507.92899999999997</v>
      </c>
      <c r="K218" s="10">
        <v>1953.4459999999999</v>
      </c>
      <c r="L218" s="10">
        <v>220.06100000000001</v>
      </c>
      <c r="M218" s="10">
        <v>0</v>
      </c>
      <c r="N218" s="11">
        <f t="shared" si="13"/>
        <v>19935.213</v>
      </c>
      <c r="O218" s="11">
        <f>N218+'59a'!G219+'59a'!P219</f>
        <v>100674.455</v>
      </c>
    </row>
    <row r="219" spans="2:15" s="8" customFormat="1" ht="34.9" hidden="1" customHeight="1">
      <c r="B219" s="14">
        <v>44105</v>
      </c>
      <c r="C219" s="6">
        <v>464.34399999999999</v>
      </c>
      <c r="D219" s="6">
        <v>3973.8519999999999</v>
      </c>
      <c r="E219" s="6">
        <v>0</v>
      </c>
      <c r="F219" s="6">
        <v>0</v>
      </c>
      <c r="G219" s="6">
        <v>1971.8240000000001</v>
      </c>
      <c r="H219" s="6">
        <v>5920.9840000000004</v>
      </c>
      <c r="I219" s="6">
        <v>4089.9119999999998</v>
      </c>
      <c r="J219" s="6">
        <v>162.76</v>
      </c>
      <c r="K219" s="6">
        <v>685.34699999999998</v>
      </c>
      <c r="L219" s="6">
        <v>530.80100000000004</v>
      </c>
      <c r="M219" s="6">
        <v>0</v>
      </c>
      <c r="N219" s="7">
        <f t="shared" si="13"/>
        <v>17799.824000000001</v>
      </c>
      <c r="O219" s="7">
        <f>N219+'59a'!G220+'59a'!P220</f>
        <v>79031.558999999994</v>
      </c>
    </row>
    <row r="220" spans="2:15" s="8" customFormat="1" ht="34.9" hidden="1" customHeight="1">
      <c r="B220" s="15">
        <v>44136</v>
      </c>
      <c r="C220" s="10">
        <v>730.73699999999997</v>
      </c>
      <c r="D220" s="10">
        <v>4266.7870000000003</v>
      </c>
      <c r="E220" s="10">
        <v>0</v>
      </c>
      <c r="F220" s="10">
        <v>0</v>
      </c>
      <c r="G220" s="10">
        <v>899.51599999999996</v>
      </c>
      <c r="H220" s="10">
        <v>7413.2560000000003</v>
      </c>
      <c r="I220" s="10">
        <v>7536.35</v>
      </c>
      <c r="J220" s="10">
        <v>488.13400000000001</v>
      </c>
      <c r="K220" s="10">
        <v>294.55799999999999</v>
      </c>
      <c r="L220" s="10">
        <v>8.24</v>
      </c>
      <c r="M220" s="10">
        <v>0</v>
      </c>
      <c r="N220" s="11">
        <f t="shared" si="13"/>
        <v>21637.578000000001</v>
      </c>
      <c r="O220" s="11">
        <f>N220+'59a'!G221+'59a'!P221</f>
        <v>77529.623999999996</v>
      </c>
    </row>
    <row r="221" spans="2:15" s="8" customFormat="1" ht="34.9" hidden="1" customHeight="1">
      <c r="B221" s="14">
        <v>44166</v>
      </c>
      <c r="C221" s="6">
        <v>681.84699999999998</v>
      </c>
      <c r="D221" s="6">
        <v>8696.6180000000004</v>
      </c>
      <c r="E221" s="6">
        <v>0</v>
      </c>
      <c r="F221" s="6">
        <v>0</v>
      </c>
      <c r="G221" s="6">
        <v>2074.0210000000002</v>
      </c>
      <c r="H221" s="6">
        <v>6937.3639999999996</v>
      </c>
      <c r="I221" s="6">
        <v>9495.9619999999995</v>
      </c>
      <c r="J221" s="6">
        <v>209.17699999999999</v>
      </c>
      <c r="K221" s="6">
        <v>533.01499999999999</v>
      </c>
      <c r="L221" s="6">
        <v>18.542999999999999</v>
      </c>
      <c r="M221" s="6">
        <v>0</v>
      </c>
      <c r="N221" s="7">
        <f t="shared" si="13"/>
        <v>28646.546999999999</v>
      </c>
      <c r="O221" s="7">
        <f>N221+'59a'!G222+'59a'!P222</f>
        <v>181202.35499999998</v>
      </c>
    </row>
    <row r="222" spans="2:15" s="8" customFormat="1" ht="34.9" hidden="1" customHeight="1">
      <c r="B222" s="3">
        <v>2021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3"/>
      <c r="O222" s="13"/>
    </row>
    <row r="223" spans="2:15" s="8" customFormat="1" ht="34.9" hidden="1" customHeight="1">
      <c r="B223" s="14">
        <v>44197</v>
      </c>
      <c r="C223" s="6">
        <v>202.51499999999999</v>
      </c>
      <c r="D223" s="6">
        <v>3202.864</v>
      </c>
      <c r="E223" s="6">
        <v>0</v>
      </c>
      <c r="F223" s="6">
        <v>0</v>
      </c>
      <c r="G223" s="6">
        <v>2016.529</v>
      </c>
      <c r="H223" s="6">
        <v>9045.0990000000002</v>
      </c>
      <c r="I223" s="6">
        <v>12294.492</v>
      </c>
      <c r="J223" s="6">
        <v>775.79600000000005</v>
      </c>
      <c r="K223" s="6">
        <v>1643.145</v>
      </c>
      <c r="L223" s="6">
        <v>644.81600000000003</v>
      </c>
      <c r="M223" s="6">
        <v>0</v>
      </c>
      <c r="N223" s="7">
        <f t="shared" ref="N223:N234" si="14">SUM(C223:M223)</f>
        <v>29825.255999999998</v>
      </c>
      <c r="O223" s="7">
        <f>N223+'59a'!G224+'59a'!P224</f>
        <v>212089.50499999998</v>
      </c>
    </row>
    <row r="224" spans="2:15" s="8" customFormat="1" ht="34.9" hidden="1" customHeight="1">
      <c r="B224" s="15">
        <v>44228</v>
      </c>
      <c r="C224" s="10">
        <v>1531.21</v>
      </c>
      <c r="D224" s="10">
        <v>2070.2330000000002</v>
      </c>
      <c r="E224" s="10">
        <v>0</v>
      </c>
      <c r="F224" s="10">
        <v>0</v>
      </c>
      <c r="G224" s="10">
        <v>3443.346</v>
      </c>
      <c r="H224" s="10">
        <v>3807.1680000000001</v>
      </c>
      <c r="I224" s="10">
        <v>22312.829000000002</v>
      </c>
      <c r="J224" s="10">
        <v>1000.378</v>
      </c>
      <c r="K224" s="10">
        <v>1173.634</v>
      </c>
      <c r="L224" s="10">
        <v>462.59899999999999</v>
      </c>
      <c r="M224" s="10">
        <v>0</v>
      </c>
      <c r="N224" s="11">
        <f t="shared" si="14"/>
        <v>35801.396999999997</v>
      </c>
      <c r="O224" s="11">
        <f>N224+'59a'!G225+'59a'!P225</f>
        <v>136405.37099999998</v>
      </c>
    </row>
    <row r="225" spans="2:15" s="8" customFormat="1" ht="34.9" hidden="1" customHeight="1">
      <c r="B225" s="14">
        <v>44256</v>
      </c>
      <c r="C225" s="6">
        <v>5844.6559999999999</v>
      </c>
      <c r="D225" s="6">
        <v>4740.0659999999998</v>
      </c>
      <c r="E225" s="6">
        <v>0</v>
      </c>
      <c r="F225" s="6">
        <v>0</v>
      </c>
      <c r="G225" s="6">
        <v>10913.165999999999</v>
      </c>
      <c r="H225" s="6">
        <v>2862.527</v>
      </c>
      <c r="I225" s="6">
        <v>32672.203000000001</v>
      </c>
      <c r="J225" s="6">
        <v>572.95799999999997</v>
      </c>
      <c r="K225" s="6">
        <v>357.38900000000001</v>
      </c>
      <c r="L225" s="6">
        <v>609.16700000000003</v>
      </c>
      <c r="M225" s="6">
        <v>0</v>
      </c>
      <c r="N225" s="7">
        <f t="shared" si="14"/>
        <v>58572.132000000005</v>
      </c>
      <c r="O225" s="7">
        <f>N225+'59a'!G226+'59a'!P226</f>
        <v>177078.598</v>
      </c>
    </row>
    <row r="226" spans="2:15" s="8" customFormat="1" ht="34.9" hidden="1" customHeight="1">
      <c r="B226" s="15">
        <v>44287</v>
      </c>
      <c r="C226" s="10">
        <v>1595.13</v>
      </c>
      <c r="D226" s="10">
        <v>814.00599999999997</v>
      </c>
      <c r="E226" s="10">
        <v>0</v>
      </c>
      <c r="F226" s="10">
        <v>0</v>
      </c>
      <c r="G226" s="10">
        <v>893.45299999999997</v>
      </c>
      <c r="H226" s="10">
        <v>1790.5540000000001</v>
      </c>
      <c r="I226" s="10">
        <v>27623.210999999999</v>
      </c>
      <c r="J226" s="10">
        <v>926.17399999999998</v>
      </c>
      <c r="K226" s="10">
        <v>3127.6770000000001</v>
      </c>
      <c r="L226" s="10">
        <v>10.867000000000001</v>
      </c>
      <c r="M226" s="10">
        <v>0</v>
      </c>
      <c r="N226" s="11">
        <f t="shared" si="14"/>
        <v>36781.072</v>
      </c>
      <c r="O226" s="11">
        <f>N226+'59a'!G227+'59a'!P227</f>
        <v>132842.09600000002</v>
      </c>
    </row>
    <row r="227" spans="2:15" s="8" customFormat="1" ht="34.9" hidden="1" customHeight="1">
      <c r="B227" s="14">
        <v>44317</v>
      </c>
      <c r="C227" s="6">
        <v>3741.7620000000002</v>
      </c>
      <c r="D227" s="6">
        <v>771.84</v>
      </c>
      <c r="E227" s="6">
        <v>0</v>
      </c>
      <c r="F227" s="6">
        <v>0</v>
      </c>
      <c r="G227" s="6">
        <v>3126.28</v>
      </c>
      <c r="H227" s="6">
        <v>1721.42</v>
      </c>
      <c r="I227" s="6">
        <v>40154.519</v>
      </c>
      <c r="J227" s="6">
        <v>998.00900000000001</v>
      </c>
      <c r="K227" s="6">
        <v>3875.5059999999999</v>
      </c>
      <c r="L227" s="6">
        <v>65.531000000000006</v>
      </c>
      <c r="M227" s="6">
        <v>0</v>
      </c>
      <c r="N227" s="7">
        <f t="shared" si="14"/>
        <v>54454.866999999998</v>
      </c>
      <c r="O227" s="7">
        <f>N227+'59a'!G228+'59a'!P228</f>
        <v>209741.75699999998</v>
      </c>
    </row>
    <row r="228" spans="2:15" s="8" customFormat="1" ht="34.9" hidden="1" customHeight="1">
      <c r="B228" s="15">
        <v>44348</v>
      </c>
      <c r="C228" s="10">
        <v>1001.431</v>
      </c>
      <c r="D228" s="10">
        <v>481.84300000000002</v>
      </c>
      <c r="E228" s="10">
        <v>0</v>
      </c>
      <c r="F228" s="10">
        <v>0</v>
      </c>
      <c r="G228" s="10">
        <v>3032.7869999999998</v>
      </c>
      <c r="H228" s="10">
        <v>1562.972</v>
      </c>
      <c r="I228" s="10">
        <v>72561.152000000002</v>
      </c>
      <c r="J228" s="10">
        <v>1969.998</v>
      </c>
      <c r="K228" s="10">
        <v>1403.7840000000001</v>
      </c>
      <c r="L228" s="10">
        <v>62.427</v>
      </c>
      <c r="M228" s="10">
        <v>0</v>
      </c>
      <c r="N228" s="11">
        <f t="shared" si="14"/>
        <v>82076.394</v>
      </c>
      <c r="O228" s="11">
        <f>N228+'59a'!G229+'59a'!P229</f>
        <v>260932.91800000001</v>
      </c>
    </row>
    <row r="229" spans="2:15" s="8" customFormat="1" ht="34.9" hidden="1" customHeight="1">
      <c r="B229" s="14">
        <v>44378</v>
      </c>
      <c r="C229" s="6">
        <v>1066.9670000000001</v>
      </c>
      <c r="D229" s="6">
        <v>560.21</v>
      </c>
      <c r="E229" s="6">
        <v>0</v>
      </c>
      <c r="F229" s="6">
        <v>0</v>
      </c>
      <c r="G229" s="6">
        <v>2767.4160000000002</v>
      </c>
      <c r="H229" s="6">
        <v>698.43499999999995</v>
      </c>
      <c r="I229" s="6">
        <v>29160.203000000001</v>
      </c>
      <c r="J229" s="6">
        <v>738.75900000000001</v>
      </c>
      <c r="K229" s="6">
        <v>569.49800000000005</v>
      </c>
      <c r="L229" s="6">
        <v>57.945</v>
      </c>
      <c r="M229" s="6">
        <v>0</v>
      </c>
      <c r="N229" s="7">
        <f t="shared" si="14"/>
        <v>35619.432999999997</v>
      </c>
      <c r="O229" s="7">
        <f>N229+'59a'!G230+'59a'!P230</f>
        <v>124327.64899999999</v>
      </c>
    </row>
    <row r="230" spans="2:15" s="8" customFormat="1" ht="34.9" hidden="1" customHeight="1">
      <c r="B230" s="15">
        <v>44409</v>
      </c>
      <c r="C230" s="10">
        <v>892.976</v>
      </c>
      <c r="D230" s="10">
        <v>802.76400000000001</v>
      </c>
      <c r="E230" s="10">
        <v>0</v>
      </c>
      <c r="F230" s="10">
        <v>0</v>
      </c>
      <c r="G230" s="10">
        <v>4105.2269999999999</v>
      </c>
      <c r="H230" s="10">
        <v>1467.268</v>
      </c>
      <c r="I230" s="10">
        <v>31233.579000000002</v>
      </c>
      <c r="J230" s="10">
        <v>512.86400000000003</v>
      </c>
      <c r="K230" s="10">
        <v>620.03599999999994</v>
      </c>
      <c r="L230" s="10">
        <v>53.99</v>
      </c>
      <c r="M230" s="10">
        <v>0</v>
      </c>
      <c r="N230" s="11">
        <f t="shared" si="14"/>
        <v>39688.703999999998</v>
      </c>
      <c r="O230" s="11">
        <f>N230+'59a'!G231+'59a'!P231</f>
        <v>137653.38</v>
      </c>
    </row>
    <row r="231" spans="2:15" s="8" customFormat="1" ht="34.9" hidden="1" customHeight="1">
      <c r="B231" s="14">
        <v>44440</v>
      </c>
      <c r="C231" s="6">
        <v>620.12800000000004</v>
      </c>
      <c r="D231" s="6">
        <v>2474.9659999999999</v>
      </c>
      <c r="E231" s="6">
        <v>0</v>
      </c>
      <c r="F231" s="6">
        <v>0</v>
      </c>
      <c r="G231" s="6">
        <v>5771.4059999999999</v>
      </c>
      <c r="H231" s="6">
        <v>1657.942</v>
      </c>
      <c r="I231" s="6">
        <v>21579.332999999999</v>
      </c>
      <c r="J231" s="6">
        <v>365.87</v>
      </c>
      <c r="K231" s="6">
        <v>602.94200000000001</v>
      </c>
      <c r="L231" s="6">
        <v>32.779000000000003</v>
      </c>
      <c r="M231" s="6">
        <v>0</v>
      </c>
      <c r="N231" s="7">
        <f t="shared" si="14"/>
        <v>33105.366000000002</v>
      </c>
      <c r="O231" s="7">
        <f>N231+'59a'!G232+'59a'!P232</f>
        <v>157381.174</v>
      </c>
    </row>
    <row r="232" spans="2:15" s="8" customFormat="1" ht="34.9" hidden="1" customHeight="1">
      <c r="B232" s="15">
        <v>44470</v>
      </c>
      <c r="C232" s="10">
        <v>229.08699999999999</v>
      </c>
      <c r="D232" s="10">
        <v>1664.0070000000001</v>
      </c>
      <c r="E232" s="10">
        <v>0</v>
      </c>
      <c r="F232" s="10">
        <v>0</v>
      </c>
      <c r="G232" s="10">
        <v>5469.8440000000001</v>
      </c>
      <c r="H232" s="10">
        <v>985.95699999999999</v>
      </c>
      <c r="I232" s="10">
        <v>20013.553</v>
      </c>
      <c r="J232" s="10">
        <v>1206.5509999999999</v>
      </c>
      <c r="K232" s="10">
        <v>342.43900000000002</v>
      </c>
      <c r="L232" s="10">
        <v>36.712000000000003</v>
      </c>
      <c r="M232" s="10">
        <v>0</v>
      </c>
      <c r="N232" s="11">
        <f t="shared" si="14"/>
        <v>29948.149999999998</v>
      </c>
      <c r="O232" s="11">
        <f>N232+'59a'!G233+'59a'!P233</f>
        <v>122657.503</v>
      </c>
    </row>
    <row r="233" spans="2:15" s="8" customFormat="1" ht="34.9" hidden="1" customHeight="1">
      <c r="B233" s="14">
        <v>44501</v>
      </c>
      <c r="C233" s="6">
        <v>4695.527</v>
      </c>
      <c r="D233" s="6">
        <v>2386.2339999999999</v>
      </c>
      <c r="E233" s="6">
        <v>0</v>
      </c>
      <c r="F233" s="6">
        <v>0</v>
      </c>
      <c r="G233" s="6">
        <v>3937.2379999999998</v>
      </c>
      <c r="H233" s="6">
        <v>2059.8040000000001</v>
      </c>
      <c r="I233" s="6">
        <v>13669.288</v>
      </c>
      <c r="J233" s="6">
        <v>5074.6639999999998</v>
      </c>
      <c r="K233" s="6">
        <v>544.19600000000003</v>
      </c>
      <c r="L233" s="6">
        <v>22.024999999999999</v>
      </c>
      <c r="M233" s="6">
        <v>0</v>
      </c>
      <c r="N233" s="7">
        <f t="shared" si="14"/>
        <v>32388.976000000002</v>
      </c>
      <c r="O233" s="7">
        <f>N233+'59a'!G234+'59a'!P234</f>
        <v>133842.18</v>
      </c>
    </row>
    <row r="234" spans="2:15" s="8" customFormat="1" ht="34.9" hidden="1" customHeight="1">
      <c r="B234" s="15">
        <v>44531</v>
      </c>
      <c r="C234" s="10">
        <v>6253.9669999999996</v>
      </c>
      <c r="D234" s="10">
        <v>1848.2</v>
      </c>
      <c r="E234" s="10">
        <v>0</v>
      </c>
      <c r="F234" s="10">
        <v>0</v>
      </c>
      <c r="G234" s="10">
        <v>3000.8130000000001</v>
      </c>
      <c r="H234" s="10">
        <v>1231.3969999999999</v>
      </c>
      <c r="I234" s="10">
        <v>11384.763000000001</v>
      </c>
      <c r="J234" s="10">
        <v>3185.92</v>
      </c>
      <c r="K234" s="10">
        <v>675.74</v>
      </c>
      <c r="L234" s="10">
        <v>16.558</v>
      </c>
      <c r="M234" s="10">
        <v>0</v>
      </c>
      <c r="N234" s="11">
        <f t="shared" si="14"/>
        <v>27597.358</v>
      </c>
      <c r="O234" s="11">
        <f>N234+'59a'!G235+'59a'!P235</f>
        <v>158644.40600000002</v>
      </c>
    </row>
    <row r="235" spans="2:15" s="8" customFormat="1" ht="34.9" hidden="1" customHeight="1">
      <c r="B235" s="3">
        <v>2022</v>
      </c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3"/>
    </row>
    <row r="236" spans="2:15" s="8" customFormat="1" ht="34.9" hidden="1" customHeight="1">
      <c r="B236" s="14">
        <v>44562</v>
      </c>
      <c r="C236" s="6">
        <v>270.26600000000002</v>
      </c>
      <c r="D236" s="6">
        <v>1414.143</v>
      </c>
      <c r="E236" s="6">
        <v>0</v>
      </c>
      <c r="F236" s="6">
        <v>0</v>
      </c>
      <c r="G236" s="6">
        <v>2010.0709999999999</v>
      </c>
      <c r="H236" s="6">
        <v>543.83299999999997</v>
      </c>
      <c r="I236" s="6">
        <v>11645.416999999999</v>
      </c>
      <c r="J236" s="6">
        <v>2019.001</v>
      </c>
      <c r="K236" s="6">
        <v>423.28399999999999</v>
      </c>
      <c r="L236" s="6">
        <v>25.692</v>
      </c>
      <c r="M236" s="6">
        <v>0</v>
      </c>
      <c r="N236" s="7">
        <f t="shared" ref="N236:N247" si="15">SUM(C236:M236)</f>
        <v>18351.706999999999</v>
      </c>
      <c r="O236" s="7">
        <f>N236+'59a'!P237+'59a'!G237</f>
        <v>111585.269</v>
      </c>
    </row>
    <row r="237" spans="2:15" s="8" customFormat="1" ht="34.9" hidden="1" customHeight="1">
      <c r="B237" s="15">
        <v>44593</v>
      </c>
      <c r="C237" s="10">
        <v>142.72399999999999</v>
      </c>
      <c r="D237" s="10">
        <v>667.69799999999998</v>
      </c>
      <c r="E237" s="10">
        <v>0</v>
      </c>
      <c r="F237" s="10">
        <v>0</v>
      </c>
      <c r="G237" s="10">
        <v>715.98699999999997</v>
      </c>
      <c r="H237" s="10">
        <v>419.447</v>
      </c>
      <c r="I237" s="10">
        <v>15071</v>
      </c>
      <c r="J237" s="10">
        <v>1151.925</v>
      </c>
      <c r="K237" s="10">
        <v>449.09</v>
      </c>
      <c r="L237" s="10">
        <v>17.777000000000001</v>
      </c>
      <c r="M237" s="10">
        <v>0</v>
      </c>
      <c r="N237" s="11">
        <f t="shared" si="15"/>
        <v>18635.647999999997</v>
      </c>
      <c r="O237" s="11">
        <f>N237+'59a'!P238+'59a'!G238</f>
        <v>114835.41299999999</v>
      </c>
    </row>
    <row r="238" spans="2:15" s="8" customFormat="1" ht="34.9" hidden="1" customHeight="1">
      <c r="B238" s="14">
        <v>44621</v>
      </c>
      <c r="C238" s="6">
        <v>375.29500000000002</v>
      </c>
      <c r="D238" s="6">
        <v>816.351</v>
      </c>
      <c r="E238" s="6">
        <v>0</v>
      </c>
      <c r="F238" s="6">
        <v>0</v>
      </c>
      <c r="G238" s="6">
        <v>9671.1309999999994</v>
      </c>
      <c r="H238" s="6">
        <v>408.29300000000001</v>
      </c>
      <c r="I238" s="6">
        <v>46898.86</v>
      </c>
      <c r="J238" s="6">
        <v>1063.4349999999999</v>
      </c>
      <c r="K238" s="6">
        <v>260.77499999999998</v>
      </c>
      <c r="L238" s="6">
        <v>23.683</v>
      </c>
      <c r="M238" s="6">
        <v>0</v>
      </c>
      <c r="N238" s="7">
        <f t="shared" si="15"/>
        <v>59517.822999999997</v>
      </c>
      <c r="O238" s="7">
        <f>N238+'59a'!P239+'59a'!G239</f>
        <v>160527.36299999998</v>
      </c>
    </row>
    <row r="239" spans="2:15" s="8" customFormat="1" ht="34.9" hidden="1" customHeight="1">
      <c r="B239" s="15">
        <v>44652</v>
      </c>
      <c r="C239" s="10">
        <v>256.56700000000001</v>
      </c>
      <c r="D239" s="10">
        <v>389.24900000000002</v>
      </c>
      <c r="E239" s="10">
        <v>0</v>
      </c>
      <c r="F239" s="10">
        <v>0</v>
      </c>
      <c r="G239" s="10">
        <v>945.21400000000006</v>
      </c>
      <c r="H239" s="10">
        <v>1.2509999999999999</v>
      </c>
      <c r="I239" s="10">
        <v>68185.364000000001</v>
      </c>
      <c r="J239" s="10">
        <v>1812.4580000000001</v>
      </c>
      <c r="K239" s="10">
        <v>437.68099999999998</v>
      </c>
      <c r="L239" s="10">
        <v>13.048999999999999</v>
      </c>
      <c r="M239" s="10">
        <v>0</v>
      </c>
      <c r="N239" s="11">
        <f t="shared" si="15"/>
        <v>72040.832999999999</v>
      </c>
      <c r="O239" s="11">
        <f>N239+'59a'!P240+'59a'!G240</f>
        <v>176498.16399999999</v>
      </c>
    </row>
    <row r="240" spans="2:15" s="8" customFormat="1" ht="34.9" hidden="1" customHeight="1">
      <c r="B240" s="14">
        <v>44682</v>
      </c>
      <c r="C240" s="6">
        <v>230.13</v>
      </c>
      <c r="D240" s="6">
        <v>365.88299999999998</v>
      </c>
      <c r="E240" s="6">
        <v>0</v>
      </c>
      <c r="F240" s="6">
        <v>0</v>
      </c>
      <c r="G240" s="6">
        <v>4555.268</v>
      </c>
      <c r="H240" s="6">
        <v>15.715999999999999</v>
      </c>
      <c r="I240" s="6">
        <v>40705.536</v>
      </c>
      <c r="J240" s="6">
        <v>1522.3330000000001</v>
      </c>
      <c r="K240" s="6">
        <v>316.07299999999998</v>
      </c>
      <c r="L240" s="6">
        <v>29.234999999999999</v>
      </c>
      <c r="M240" s="6">
        <v>0</v>
      </c>
      <c r="N240" s="7">
        <f t="shared" si="15"/>
        <v>47740.173999999999</v>
      </c>
      <c r="O240" s="7">
        <f>N240+'59a'!P241+'59a'!G241</f>
        <v>178724.97700000001</v>
      </c>
    </row>
    <row r="241" spans="2:15" s="8" customFormat="1" ht="34.9" hidden="1" customHeight="1">
      <c r="B241" s="15">
        <v>44713</v>
      </c>
      <c r="C241" s="10">
        <v>225.011</v>
      </c>
      <c r="D241" s="10">
        <v>1024.5050000000001</v>
      </c>
      <c r="E241" s="10">
        <v>0</v>
      </c>
      <c r="F241" s="10">
        <v>0</v>
      </c>
      <c r="G241" s="10">
        <v>4717.0649999999996</v>
      </c>
      <c r="H241" s="10">
        <v>805.76800000000003</v>
      </c>
      <c r="I241" s="10">
        <v>35045.275000000001</v>
      </c>
      <c r="J241" s="10">
        <v>3927.5219999999999</v>
      </c>
      <c r="K241" s="10">
        <v>188.31200000000001</v>
      </c>
      <c r="L241" s="10">
        <v>7.91</v>
      </c>
      <c r="M241" s="10">
        <v>0</v>
      </c>
      <c r="N241" s="11">
        <f t="shared" si="15"/>
        <v>45941.368000000002</v>
      </c>
      <c r="O241" s="11">
        <f>N241+'59a'!P242+'59a'!G242</f>
        <v>228209.47700000001</v>
      </c>
    </row>
    <row r="242" spans="2:15" s="8" customFormat="1" ht="34.9" hidden="1" customHeight="1">
      <c r="B242" s="14">
        <v>44743</v>
      </c>
      <c r="C242" s="6">
        <v>1576.4860000000001</v>
      </c>
      <c r="D242" s="6">
        <v>424.10599999999999</v>
      </c>
      <c r="E242" s="6">
        <v>0</v>
      </c>
      <c r="F242" s="6">
        <v>0</v>
      </c>
      <c r="G242" s="6">
        <v>1935.0740000000001</v>
      </c>
      <c r="H242" s="6">
        <v>305.20100000000002</v>
      </c>
      <c r="I242" s="6">
        <v>27042.138999999999</v>
      </c>
      <c r="J242" s="6">
        <v>1940.1569999999999</v>
      </c>
      <c r="K242" s="6">
        <v>147.94499999999999</v>
      </c>
      <c r="L242" s="6">
        <v>131.29</v>
      </c>
      <c r="M242" s="6">
        <v>0</v>
      </c>
      <c r="N242" s="7">
        <f t="shared" si="15"/>
        <v>33502.398000000001</v>
      </c>
      <c r="O242" s="7">
        <f>N242+'59a'!P243+'59a'!G243</f>
        <v>181357.27000000002</v>
      </c>
    </row>
    <row r="243" spans="2:15" s="8" customFormat="1" ht="34.9" hidden="1" customHeight="1">
      <c r="B243" s="15">
        <v>44774</v>
      </c>
      <c r="C243" s="10">
        <v>512.30899999999997</v>
      </c>
      <c r="D243" s="10">
        <v>697.62099999999998</v>
      </c>
      <c r="E243" s="10">
        <v>0</v>
      </c>
      <c r="F243" s="10">
        <v>0</v>
      </c>
      <c r="G243" s="10">
        <v>2420.145</v>
      </c>
      <c r="H243" s="10">
        <v>323.553</v>
      </c>
      <c r="I243" s="10">
        <v>39654.582999999999</v>
      </c>
      <c r="J243" s="10">
        <v>2789.9690000000001</v>
      </c>
      <c r="K243" s="10">
        <v>148.13</v>
      </c>
      <c r="L243" s="10">
        <v>52.665999999999997</v>
      </c>
      <c r="M243" s="10">
        <v>0</v>
      </c>
      <c r="N243" s="11">
        <f t="shared" si="15"/>
        <v>46598.975999999988</v>
      </c>
      <c r="O243" s="11">
        <f>N243+'59a'!P244+'59a'!G244</f>
        <v>294567.02399999998</v>
      </c>
    </row>
    <row r="244" spans="2:15" s="8" customFormat="1" ht="34.9" hidden="1" customHeight="1">
      <c r="B244" s="14">
        <v>44805</v>
      </c>
      <c r="C244" s="6">
        <v>206.523</v>
      </c>
      <c r="D244" s="6">
        <v>641.50199999999995</v>
      </c>
      <c r="E244" s="6">
        <v>0</v>
      </c>
      <c r="F244" s="6">
        <v>0</v>
      </c>
      <c r="G244" s="6">
        <v>1572.105</v>
      </c>
      <c r="H244" s="6">
        <v>319.31700000000001</v>
      </c>
      <c r="I244" s="6">
        <v>20292.580000000002</v>
      </c>
      <c r="J244" s="6">
        <v>1427.37</v>
      </c>
      <c r="K244" s="6">
        <v>72.638000000000005</v>
      </c>
      <c r="L244" s="6">
        <v>43.896999999999998</v>
      </c>
      <c r="M244" s="6">
        <v>0</v>
      </c>
      <c r="N244" s="7">
        <f t="shared" si="15"/>
        <v>24575.932000000001</v>
      </c>
      <c r="O244" s="7">
        <f>N244+'59a'!P245+'59a'!G245</f>
        <v>121785.13400000001</v>
      </c>
    </row>
    <row r="245" spans="2:15" s="8" customFormat="1" ht="34.9" hidden="1" customHeight="1">
      <c r="B245" s="15">
        <v>44835</v>
      </c>
      <c r="C245" s="10">
        <v>296.95600000000002</v>
      </c>
      <c r="D245" s="10">
        <v>443.06</v>
      </c>
      <c r="E245" s="10">
        <v>0</v>
      </c>
      <c r="F245" s="10">
        <v>0</v>
      </c>
      <c r="G245" s="10">
        <v>1849.2339999999999</v>
      </c>
      <c r="H245" s="10">
        <v>208.64500000000001</v>
      </c>
      <c r="I245" s="10">
        <v>18331.065999999999</v>
      </c>
      <c r="J245" s="10">
        <v>3494.1959999999999</v>
      </c>
      <c r="K245" s="10">
        <v>50.328000000000003</v>
      </c>
      <c r="L245" s="10">
        <v>4.3620000000000001</v>
      </c>
      <c r="M245" s="10">
        <v>0</v>
      </c>
      <c r="N245" s="11">
        <f t="shared" si="15"/>
        <v>24677.847000000002</v>
      </c>
      <c r="O245" s="11">
        <f>N245+'59a'!P246+'59a'!G246</f>
        <v>125212.493</v>
      </c>
    </row>
    <row r="246" spans="2:15" s="8" customFormat="1" ht="34.9" hidden="1" customHeight="1">
      <c r="B246" s="14">
        <v>44866</v>
      </c>
      <c r="C246" s="6">
        <v>278.77</v>
      </c>
      <c r="D246" s="6">
        <v>305.50299999999999</v>
      </c>
      <c r="E246" s="6">
        <v>0</v>
      </c>
      <c r="F246" s="6">
        <v>0</v>
      </c>
      <c r="G246" s="6">
        <v>7482.4189999999999</v>
      </c>
      <c r="H246" s="6">
        <v>92.811999999999998</v>
      </c>
      <c r="I246" s="6">
        <v>16057.187</v>
      </c>
      <c r="J246" s="6">
        <v>3600.4969999999998</v>
      </c>
      <c r="K246" s="6">
        <v>142.429</v>
      </c>
      <c r="L246" s="6">
        <v>18.334</v>
      </c>
      <c r="M246" s="6">
        <v>0</v>
      </c>
      <c r="N246" s="7">
        <f t="shared" si="15"/>
        <v>27977.950999999997</v>
      </c>
      <c r="O246" s="7">
        <f>N246+'59a'!P247+'59a'!G247</f>
        <v>118132.76199999999</v>
      </c>
    </row>
    <row r="247" spans="2:15" s="8" customFormat="1" ht="34.9" hidden="1" customHeight="1">
      <c r="B247" s="15">
        <v>44896</v>
      </c>
      <c r="C247" s="10">
        <v>255.03899999999999</v>
      </c>
      <c r="D247" s="10">
        <v>127.85299999999999</v>
      </c>
      <c r="E247" s="10">
        <v>0</v>
      </c>
      <c r="F247" s="10">
        <v>0</v>
      </c>
      <c r="G247" s="10">
        <v>8498.5360000000001</v>
      </c>
      <c r="H247" s="10">
        <v>115.304</v>
      </c>
      <c r="I247" s="10">
        <v>13596.192999999999</v>
      </c>
      <c r="J247" s="10">
        <v>3793.9929999999999</v>
      </c>
      <c r="K247" s="10">
        <v>59.463999999999999</v>
      </c>
      <c r="L247" s="10">
        <v>7.0869999999999997</v>
      </c>
      <c r="M247" s="10">
        <v>0</v>
      </c>
      <c r="N247" s="11">
        <f t="shared" si="15"/>
        <v>26453.468999999997</v>
      </c>
      <c r="O247" s="11">
        <f>N247+'59a'!P248+'59a'!G248</f>
        <v>92271.263999999996</v>
      </c>
    </row>
    <row r="248" spans="2:15" s="8" customFormat="1" ht="33" hidden="1" customHeight="1">
      <c r="B248" s="3">
        <v>2023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3"/>
      <c r="O248" s="13"/>
    </row>
    <row r="249" spans="2:15" s="8" customFormat="1" ht="34.9" hidden="1" customHeight="1">
      <c r="B249" s="14">
        <v>44927</v>
      </c>
      <c r="C249" s="6">
        <v>371.971</v>
      </c>
      <c r="D249" s="6">
        <v>312.81599999999997</v>
      </c>
      <c r="E249" s="6">
        <v>0</v>
      </c>
      <c r="F249" s="6">
        <v>0</v>
      </c>
      <c r="G249" s="6">
        <v>12900.1</v>
      </c>
      <c r="H249" s="6">
        <v>189.488</v>
      </c>
      <c r="I249" s="6">
        <v>40137.264000000003</v>
      </c>
      <c r="J249" s="6">
        <v>4340.9669999999996</v>
      </c>
      <c r="K249" s="6">
        <v>113.28700000000001</v>
      </c>
      <c r="L249" s="6">
        <v>25.085999999999999</v>
      </c>
      <c r="M249" s="6">
        <v>0</v>
      </c>
      <c r="N249" s="7">
        <f t="shared" ref="N249:N262" si="16">SUM(C249:M249)</f>
        <v>58390.978999999999</v>
      </c>
      <c r="O249" s="7">
        <f>N249+'59a'!P250+'59a'!G250</f>
        <v>189749.77599999998</v>
      </c>
    </row>
    <row r="250" spans="2:15" s="8" customFormat="1" ht="34.9" hidden="1" customHeight="1">
      <c r="B250" s="15">
        <v>44958</v>
      </c>
      <c r="C250" s="10">
        <v>613.48</v>
      </c>
      <c r="D250" s="10">
        <v>531.67899999999997</v>
      </c>
      <c r="E250" s="10">
        <v>0</v>
      </c>
      <c r="F250" s="10">
        <v>0</v>
      </c>
      <c r="G250" s="10">
        <v>5796.3159999999998</v>
      </c>
      <c r="H250" s="10">
        <v>1336.5509999999999</v>
      </c>
      <c r="I250" s="10">
        <v>49020.26</v>
      </c>
      <c r="J250" s="10">
        <v>4029.904</v>
      </c>
      <c r="K250" s="10">
        <v>310.30399999999997</v>
      </c>
      <c r="L250" s="10">
        <v>20.626999999999999</v>
      </c>
      <c r="M250" s="10">
        <v>0</v>
      </c>
      <c r="N250" s="11">
        <f t="shared" si="16"/>
        <v>61659.120999999999</v>
      </c>
      <c r="O250" s="11">
        <f>N250+'59a'!P251+'59a'!G251</f>
        <v>184324.86200000002</v>
      </c>
    </row>
    <row r="251" spans="2:15" s="8" customFormat="1" ht="34.9" hidden="1" customHeight="1">
      <c r="B251" s="14">
        <v>44986</v>
      </c>
      <c r="C251" s="6">
        <v>279.327</v>
      </c>
      <c r="D251" s="6">
        <v>534.72500000000002</v>
      </c>
      <c r="E251" s="6">
        <v>0</v>
      </c>
      <c r="F251" s="6">
        <v>0</v>
      </c>
      <c r="G251" s="6">
        <v>5596.4049999999997</v>
      </c>
      <c r="H251" s="6">
        <v>1542.0340000000001</v>
      </c>
      <c r="I251" s="6">
        <v>42342.199000000001</v>
      </c>
      <c r="J251" s="6">
        <v>9810.6090000000004</v>
      </c>
      <c r="K251" s="6">
        <v>206.85599999999999</v>
      </c>
      <c r="L251" s="6">
        <v>34.433</v>
      </c>
      <c r="M251" s="6">
        <v>0</v>
      </c>
      <c r="N251" s="7">
        <f t="shared" si="16"/>
        <v>60346.587999999996</v>
      </c>
      <c r="O251" s="7">
        <f>N251+'59a'!P252+'59a'!G252</f>
        <v>160063.66</v>
      </c>
    </row>
    <row r="252" spans="2:15" s="8" customFormat="1" ht="34.9" hidden="1" customHeight="1">
      <c r="B252" s="15">
        <v>45017</v>
      </c>
      <c r="C252" s="10">
        <v>2135.7440000000001</v>
      </c>
      <c r="D252" s="10">
        <v>359.16</v>
      </c>
      <c r="E252" s="10">
        <v>0</v>
      </c>
      <c r="F252" s="10">
        <v>0</v>
      </c>
      <c r="G252" s="10">
        <v>4687.3270000000002</v>
      </c>
      <c r="H252" s="10">
        <v>176.54300000000001</v>
      </c>
      <c r="I252" s="10">
        <v>26839.913</v>
      </c>
      <c r="J252" s="10">
        <v>4000.299</v>
      </c>
      <c r="K252" s="10">
        <v>93.96</v>
      </c>
      <c r="L252" s="10">
        <v>13.233000000000001</v>
      </c>
      <c r="M252" s="10">
        <v>0</v>
      </c>
      <c r="N252" s="11">
        <f t="shared" si="16"/>
        <v>38306.178999999996</v>
      </c>
      <c r="O252" s="11">
        <f>N252+'59a'!P253+'59a'!G253</f>
        <v>111376.764</v>
      </c>
    </row>
    <row r="253" spans="2:15" s="8" customFormat="1" ht="34.9" hidden="1" customHeight="1">
      <c r="B253" s="14">
        <v>45047</v>
      </c>
      <c r="C253" s="6">
        <v>5795.7560000000003</v>
      </c>
      <c r="D253" s="6">
        <v>290.70499999999998</v>
      </c>
      <c r="E253" s="6">
        <v>0</v>
      </c>
      <c r="F253" s="6">
        <v>0</v>
      </c>
      <c r="G253" s="6">
        <v>4570.7809999999999</v>
      </c>
      <c r="H253" s="6">
        <v>365.30200000000002</v>
      </c>
      <c r="I253" s="6">
        <v>18430.641</v>
      </c>
      <c r="J253" s="6">
        <v>12445.084000000001</v>
      </c>
      <c r="K253" s="6">
        <v>283.036</v>
      </c>
      <c r="L253" s="6">
        <v>18.215</v>
      </c>
      <c r="M253" s="6">
        <v>0</v>
      </c>
      <c r="N253" s="7">
        <f t="shared" si="16"/>
        <v>42199.519999999997</v>
      </c>
      <c r="O253" s="7">
        <f>N253+'59a'!P254+'59a'!G254</f>
        <v>115772.742</v>
      </c>
    </row>
    <row r="254" spans="2:15" s="8" customFormat="1" ht="34.9" hidden="1" customHeight="1">
      <c r="B254" s="15">
        <v>45078</v>
      </c>
      <c r="C254" s="10">
        <v>3146.556</v>
      </c>
      <c r="D254" s="10">
        <v>434.25</v>
      </c>
      <c r="E254" s="10">
        <v>0</v>
      </c>
      <c r="F254" s="10">
        <v>0</v>
      </c>
      <c r="G254" s="10">
        <v>1485.9290000000001</v>
      </c>
      <c r="H254" s="10">
        <v>791.49</v>
      </c>
      <c r="I254" s="10">
        <v>26167.098999999998</v>
      </c>
      <c r="J254" s="10">
        <v>12542.632</v>
      </c>
      <c r="K254" s="10">
        <v>83.06</v>
      </c>
      <c r="L254" s="10">
        <v>107.498</v>
      </c>
      <c r="M254" s="10">
        <v>0</v>
      </c>
      <c r="N254" s="11">
        <f t="shared" si="16"/>
        <v>44758.513999999996</v>
      </c>
      <c r="O254" s="11">
        <f>N254+'59a'!P255+'59a'!G255</f>
        <v>102032.91499999999</v>
      </c>
    </row>
    <row r="255" spans="2:15" s="8" customFormat="1" ht="34.9" hidden="1" customHeight="1">
      <c r="B255" s="14">
        <v>45108</v>
      </c>
      <c r="C255" s="6">
        <v>1647.652</v>
      </c>
      <c r="D255" s="6">
        <v>376.73899999999998</v>
      </c>
      <c r="E255" s="6">
        <v>0</v>
      </c>
      <c r="F255" s="6">
        <v>0</v>
      </c>
      <c r="G255" s="6">
        <v>456.15100000000001</v>
      </c>
      <c r="H255" s="6">
        <v>214.11699999999999</v>
      </c>
      <c r="I255" s="6">
        <v>25365.313999999998</v>
      </c>
      <c r="J255" s="6">
        <v>7418.1580000000004</v>
      </c>
      <c r="K255" s="6">
        <v>144.358</v>
      </c>
      <c r="L255" s="6">
        <v>36.51</v>
      </c>
      <c r="M255" s="6">
        <v>0</v>
      </c>
      <c r="N255" s="7">
        <f t="shared" si="16"/>
        <v>35658.999000000003</v>
      </c>
      <c r="O255" s="7">
        <f>N255+'59a'!P256+'59a'!G256</f>
        <v>122559.86700000001</v>
      </c>
    </row>
    <row r="256" spans="2:15" s="8" customFormat="1" ht="34.9" hidden="1" customHeight="1">
      <c r="B256" s="15">
        <v>45139</v>
      </c>
      <c r="C256" s="10">
        <v>1113.7950000000001</v>
      </c>
      <c r="D256" s="10">
        <v>334.32600000000002</v>
      </c>
      <c r="E256" s="10">
        <v>0</v>
      </c>
      <c r="F256" s="10">
        <v>0</v>
      </c>
      <c r="G256" s="10">
        <v>574.41600000000005</v>
      </c>
      <c r="H256" s="10">
        <v>963.56600000000003</v>
      </c>
      <c r="I256" s="10">
        <v>19807.896000000001</v>
      </c>
      <c r="J256" s="10">
        <v>4494.7349999999997</v>
      </c>
      <c r="K256" s="10">
        <v>49.688000000000002</v>
      </c>
      <c r="L256" s="10">
        <v>23.794</v>
      </c>
      <c r="M256" s="10">
        <v>0</v>
      </c>
      <c r="N256" s="11">
        <f t="shared" si="16"/>
        <v>27362.216</v>
      </c>
      <c r="O256" s="11">
        <f>N256+'59a'!P257+'59a'!G257</f>
        <v>105898.08199999999</v>
      </c>
    </row>
    <row r="257" spans="2:15" s="8" customFormat="1" ht="34.9" hidden="1" customHeight="1">
      <c r="B257" s="14">
        <v>45170</v>
      </c>
      <c r="C257" s="6">
        <v>1074.4929999999999</v>
      </c>
      <c r="D257" s="6">
        <v>895.452</v>
      </c>
      <c r="E257" s="6">
        <v>0</v>
      </c>
      <c r="F257" s="6">
        <v>0</v>
      </c>
      <c r="G257" s="6">
        <v>1692.0250000000001</v>
      </c>
      <c r="H257" s="6">
        <v>1325.318</v>
      </c>
      <c r="I257" s="6">
        <v>7515.4210000000003</v>
      </c>
      <c r="J257" s="6">
        <v>6127.1319999999996</v>
      </c>
      <c r="K257" s="6">
        <v>244.69499999999999</v>
      </c>
      <c r="L257" s="6">
        <v>32.366</v>
      </c>
      <c r="M257" s="6">
        <v>0</v>
      </c>
      <c r="N257" s="7">
        <f t="shared" si="16"/>
        <v>18906.902000000002</v>
      </c>
      <c r="O257" s="7">
        <f>N257+'59a'!P258+'59a'!G258</f>
        <v>82772.006999999998</v>
      </c>
    </row>
    <row r="258" spans="2:15" s="8" customFormat="1" ht="34.9" hidden="1" customHeight="1">
      <c r="B258" s="15">
        <v>45200</v>
      </c>
      <c r="C258" s="10">
        <v>675.49199999999996</v>
      </c>
      <c r="D258" s="10">
        <v>988.02499999999998</v>
      </c>
      <c r="E258" s="10">
        <v>0</v>
      </c>
      <c r="F258" s="10">
        <v>0</v>
      </c>
      <c r="G258" s="10">
        <v>3414.0349999999999</v>
      </c>
      <c r="H258" s="10">
        <v>393.178</v>
      </c>
      <c r="I258" s="10">
        <v>9991.6370000000006</v>
      </c>
      <c r="J258" s="10">
        <v>19428.697</v>
      </c>
      <c r="K258" s="10">
        <v>243.12799999999999</v>
      </c>
      <c r="L258" s="10">
        <v>33.457000000000001</v>
      </c>
      <c r="M258" s="10">
        <v>0</v>
      </c>
      <c r="N258" s="11">
        <f t="shared" si="16"/>
        <v>35167.648999999998</v>
      </c>
      <c r="O258" s="11">
        <f>N258+'59a'!P259+'59a'!G259</f>
        <v>103225.15700000001</v>
      </c>
    </row>
    <row r="259" spans="2:15" s="8" customFormat="1" ht="34.9" hidden="1" customHeight="1">
      <c r="B259" s="14">
        <v>45231</v>
      </c>
      <c r="C259" s="6">
        <v>694.56899999999996</v>
      </c>
      <c r="D259" s="6">
        <v>4939.9229999999998</v>
      </c>
      <c r="E259" s="6">
        <v>0</v>
      </c>
      <c r="F259" s="6">
        <v>0</v>
      </c>
      <c r="G259" s="6">
        <v>505.255</v>
      </c>
      <c r="H259" s="6">
        <v>408.52699999999999</v>
      </c>
      <c r="I259" s="6">
        <v>6023.616</v>
      </c>
      <c r="J259" s="6">
        <v>9581.7479999999996</v>
      </c>
      <c r="K259" s="6">
        <v>160.852</v>
      </c>
      <c r="L259" s="6">
        <v>133.155</v>
      </c>
      <c r="M259" s="6">
        <v>0</v>
      </c>
      <c r="N259" s="7">
        <f t="shared" si="16"/>
        <v>22447.644999999997</v>
      </c>
      <c r="O259" s="7">
        <f>N259+'59a'!P260+'59a'!G260</f>
        <v>79786.555999999997</v>
      </c>
    </row>
    <row r="260" spans="2:15" s="8" customFormat="1" ht="34.9" hidden="1" customHeight="1">
      <c r="B260" s="60">
        <v>45261</v>
      </c>
      <c r="C260" s="61">
        <v>1558.8219999999999</v>
      </c>
      <c r="D260" s="61">
        <v>415.678</v>
      </c>
      <c r="E260" s="61">
        <v>0</v>
      </c>
      <c r="F260" s="61">
        <v>0</v>
      </c>
      <c r="G260" s="61">
        <v>567.94100000000003</v>
      </c>
      <c r="H260" s="61">
        <v>883.63699999999994</v>
      </c>
      <c r="I260" s="61">
        <v>6583.0910000000003</v>
      </c>
      <c r="J260" s="61">
        <v>11231.867</v>
      </c>
      <c r="K260" s="61">
        <v>445.64299999999997</v>
      </c>
      <c r="L260" s="61">
        <v>119.113</v>
      </c>
      <c r="M260" s="61">
        <v>0</v>
      </c>
      <c r="N260" s="62">
        <f t="shared" si="16"/>
        <v>21805.792000000001</v>
      </c>
      <c r="O260" s="62">
        <f>N260+'59a'!P261+'59a'!G261</f>
        <v>99401.228999999992</v>
      </c>
    </row>
    <row r="261" spans="2:15" s="8" customFormat="1" ht="34.5" hidden="1" customHeight="1">
      <c r="B261" s="3">
        <v>2024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3"/>
      <c r="O261" s="13"/>
    </row>
    <row r="262" spans="2:15" s="8" customFormat="1" ht="34.9" hidden="1" customHeight="1">
      <c r="B262" s="14">
        <v>45292</v>
      </c>
      <c r="C262" s="6">
        <v>734.01700000000005</v>
      </c>
      <c r="D262" s="6">
        <v>721.73</v>
      </c>
      <c r="E262" s="6">
        <v>0</v>
      </c>
      <c r="F262" s="6">
        <v>0</v>
      </c>
      <c r="G262" s="6">
        <v>274.34500000000003</v>
      </c>
      <c r="H262" s="6">
        <v>1043.1179999999999</v>
      </c>
      <c r="I262" s="6">
        <v>10310.563</v>
      </c>
      <c r="J262" s="6">
        <v>1886.48</v>
      </c>
      <c r="K262" s="6">
        <v>469.97800000000001</v>
      </c>
      <c r="L262" s="6">
        <v>23.594999999999999</v>
      </c>
      <c r="M262" s="6">
        <v>0</v>
      </c>
      <c r="N262" s="7">
        <f t="shared" si="16"/>
        <v>15463.825999999999</v>
      </c>
      <c r="O262" s="7">
        <f>N262+'59a'!P263+'59a'!G263</f>
        <v>106242.174</v>
      </c>
    </row>
    <row r="263" spans="2:15" s="8" customFormat="1" ht="34.9" hidden="1" customHeight="1">
      <c r="B263" s="15">
        <v>45323</v>
      </c>
      <c r="C263" s="10">
        <v>883.33</v>
      </c>
      <c r="D263" s="10">
        <v>522.15499999999997</v>
      </c>
      <c r="E263" s="10">
        <v>0</v>
      </c>
      <c r="F263" s="10">
        <v>0</v>
      </c>
      <c r="G263" s="10">
        <v>2000.075</v>
      </c>
      <c r="H263" s="10">
        <v>1197.2819999999999</v>
      </c>
      <c r="I263" s="10">
        <v>11780.694</v>
      </c>
      <c r="J263" s="10">
        <v>2941.8150000000001</v>
      </c>
      <c r="K263" s="10">
        <v>432.50700000000001</v>
      </c>
      <c r="L263" s="10">
        <v>27.076000000000001</v>
      </c>
      <c r="M263" s="10">
        <v>0</v>
      </c>
      <c r="N263" s="11">
        <f t="shared" ref="N263:N267" si="17">SUM(C263:M263)</f>
        <v>19784.934000000001</v>
      </c>
      <c r="O263" s="11">
        <f>N263+'59a'!P264+'59a'!G264</f>
        <v>99338.032999999996</v>
      </c>
    </row>
    <row r="264" spans="2:15" s="8" customFormat="1" ht="34.9" hidden="1" customHeight="1">
      <c r="B264" s="14">
        <v>45352</v>
      </c>
      <c r="C264" s="6">
        <v>1293.903</v>
      </c>
      <c r="D264" s="6">
        <v>369.05700000000002</v>
      </c>
      <c r="E264" s="6">
        <v>0</v>
      </c>
      <c r="F264" s="6">
        <v>0</v>
      </c>
      <c r="G264" s="6">
        <v>1167.8789999999999</v>
      </c>
      <c r="H264" s="6">
        <v>706.23500000000001</v>
      </c>
      <c r="I264" s="6">
        <v>9154.3590000000004</v>
      </c>
      <c r="J264" s="6">
        <v>1168.221</v>
      </c>
      <c r="K264" s="6">
        <v>128.93799999999999</v>
      </c>
      <c r="L264" s="6">
        <v>41.601999999999997</v>
      </c>
      <c r="M264" s="6">
        <v>0</v>
      </c>
      <c r="N264" s="7">
        <f t="shared" si="17"/>
        <v>14030.194000000001</v>
      </c>
      <c r="O264" s="7">
        <f>N264+'59a'!P265+'59a'!G265</f>
        <v>79793.5</v>
      </c>
    </row>
    <row r="265" spans="2:15" s="8" customFormat="1" ht="34.9" hidden="1" customHeight="1">
      <c r="B265" s="15">
        <v>45383</v>
      </c>
      <c r="C265" s="10">
        <v>1526.9549999999999</v>
      </c>
      <c r="D265" s="10">
        <v>523.04300000000001</v>
      </c>
      <c r="E265" s="10">
        <v>0</v>
      </c>
      <c r="F265" s="10">
        <v>0</v>
      </c>
      <c r="G265" s="10">
        <v>6395.5060000000003</v>
      </c>
      <c r="H265" s="10">
        <v>768.42200000000003</v>
      </c>
      <c r="I265" s="10">
        <v>22563.631000000001</v>
      </c>
      <c r="J265" s="10">
        <v>2977.6109999999999</v>
      </c>
      <c r="K265" s="10">
        <v>164.77600000000001</v>
      </c>
      <c r="L265" s="10">
        <v>106.108</v>
      </c>
      <c r="M265" s="10">
        <v>0</v>
      </c>
      <c r="N265" s="11">
        <f t="shared" si="17"/>
        <v>35026.051999999996</v>
      </c>
      <c r="O265" s="11">
        <f>N265+'59a'!P266+'59a'!G266</f>
        <v>96550.705999999991</v>
      </c>
    </row>
    <row r="266" spans="2:15" s="8" customFormat="1" ht="34.9" hidden="1" customHeight="1">
      <c r="B266" s="14">
        <v>45413</v>
      </c>
      <c r="C266" s="6">
        <v>404.81200000000001</v>
      </c>
      <c r="D266" s="6">
        <v>840.97299999999996</v>
      </c>
      <c r="E266" s="6">
        <v>0</v>
      </c>
      <c r="F266" s="6">
        <v>0</v>
      </c>
      <c r="G266" s="6">
        <v>610.78099999999995</v>
      </c>
      <c r="H266" s="6">
        <v>415.79500000000002</v>
      </c>
      <c r="I266" s="6">
        <v>13477.879000000001</v>
      </c>
      <c r="J266" s="6">
        <v>1850.8710000000001</v>
      </c>
      <c r="K266" s="6">
        <v>393.447</v>
      </c>
      <c r="L266" s="6">
        <v>62.040999999999997</v>
      </c>
      <c r="M266" s="6">
        <v>0</v>
      </c>
      <c r="N266" s="7">
        <f t="shared" si="17"/>
        <v>18056.599000000002</v>
      </c>
      <c r="O266" s="7">
        <f>N266+'59a'!P267+'59a'!G267</f>
        <v>174852.101</v>
      </c>
    </row>
    <row r="267" spans="2:15" s="8" customFormat="1" ht="34.9" hidden="1" customHeight="1">
      <c r="B267" s="15">
        <v>45445</v>
      </c>
      <c r="C267" s="10">
        <v>785.649</v>
      </c>
      <c r="D267" s="10">
        <v>444.88200000000001</v>
      </c>
      <c r="E267" s="10">
        <v>0</v>
      </c>
      <c r="F267" s="10">
        <v>0</v>
      </c>
      <c r="G267" s="10">
        <v>449.35899999999998</v>
      </c>
      <c r="H267" s="10">
        <v>932.02099999999996</v>
      </c>
      <c r="I267" s="10">
        <v>10549.991</v>
      </c>
      <c r="J267" s="10">
        <v>551.78499999999997</v>
      </c>
      <c r="K267" s="10">
        <v>113.974</v>
      </c>
      <c r="L267" s="10">
        <v>31.637</v>
      </c>
      <c r="M267" s="10">
        <v>0</v>
      </c>
      <c r="N267" s="11">
        <f t="shared" si="17"/>
        <v>13859.298000000001</v>
      </c>
      <c r="O267" s="11">
        <f>N267+'59a'!P268+'59a'!G268</f>
        <v>65445.027999999998</v>
      </c>
    </row>
    <row r="268" spans="2:15" s="8" customFormat="1" ht="34.5" hidden="1" customHeight="1">
      <c r="B268" s="14">
        <v>45474</v>
      </c>
      <c r="C268" s="6">
        <v>1421.26</v>
      </c>
      <c r="D268" s="6">
        <v>754.08399999999995</v>
      </c>
      <c r="E268" s="6">
        <v>0</v>
      </c>
      <c r="F268" s="6">
        <v>0</v>
      </c>
      <c r="G268" s="6">
        <v>821.13499999999999</v>
      </c>
      <c r="H268" s="6">
        <v>346.65499999999997</v>
      </c>
      <c r="I268" s="6">
        <v>9264.1839999999993</v>
      </c>
      <c r="J268" s="6">
        <v>683.31399999999996</v>
      </c>
      <c r="K268" s="6">
        <v>264.101</v>
      </c>
      <c r="L268" s="6">
        <v>85.317999999999998</v>
      </c>
      <c r="M268" s="6">
        <v>0</v>
      </c>
      <c r="N268" s="7">
        <f t="shared" ref="N268:N273" si="18">SUM(C268:M268)</f>
        <v>13640.050999999999</v>
      </c>
      <c r="O268" s="7">
        <f>N268+'59a'!P269+'59a'!G269</f>
        <v>92555.835999999996</v>
      </c>
    </row>
    <row r="269" spans="2:15" s="8" customFormat="1" ht="34.9" hidden="1" customHeight="1">
      <c r="B269" s="15">
        <v>45506</v>
      </c>
      <c r="C269" s="10">
        <v>414.89</v>
      </c>
      <c r="D269" s="10">
        <v>306.34800000000001</v>
      </c>
      <c r="E269" s="10">
        <v>0</v>
      </c>
      <c r="F269" s="10">
        <v>0</v>
      </c>
      <c r="G269" s="10">
        <v>353.89100000000002</v>
      </c>
      <c r="H269" s="10">
        <v>265.815</v>
      </c>
      <c r="I269" s="10">
        <v>7068.2650000000003</v>
      </c>
      <c r="J269" s="10">
        <v>2284.5219999999999</v>
      </c>
      <c r="K269" s="10">
        <v>998.53499999999997</v>
      </c>
      <c r="L269" s="10">
        <v>29.885000000000002</v>
      </c>
      <c r="M269" s="10">
        <v>0</v>
      </c>
      <c r="N269" s="11">
        <f t="shared" si="18"/>
        <v>11722.151</v>
      </c>
      <c r="O269" s="11">
        <f>N269+'59a'!P270+'59a'!G270</f>
        <v>84806.987999999998</v>
      </c>
    </row>
    <row r="270" spans="2:15" s="8" customFormat="1" ht="34.5" hidden="1" customHeight="1">
      <c r="B270" s="14">
        <v>45538</v>
      </c>
      <c r="C270" s="6">
        <v>355.858</v>
      </c>
      <c r="D270" s="6">
        <v>347.45100000000002</v>
      </c>
      <c r="E270" s="6">
        <v>0</v>
      </c>
      <c r="F270" s="6">
        <v>0</v>
      </c>
      <c r="G270" s="6">
        <v>527.79600000000005</v>
      </c>
      <c r="H270" s="6">
        <v>155.75200000000001</v>
      </c>
      <c r="I270" s="6">
        <v>5776.4759999999997</v>
      </c>
      <c r="J270" s="6">
        <v>2061.3560000000002</v>
      </c>
      <c r="K270" s="6">
        <v>390.04599999999999</v>
      </c>
      <c r="L270" s="6">
        <v>17.370999999999999</v>
      </c>
      <c r="M270" s="6">
        <v>0</v>
      </c>
      <c r="N270" s="7">
        <f t="shared" si="18"/>
        <v>9632.1059999999998</v>
      </c>
      <c r="O270" s="7">
        <f>N270+'59a'!P271+'59a'!G271</f>
        <v>78161.43299999999</v>
      </c>
    </row>
    <row r="271" spans="2:15" s="8" customFormat="1" ht="34.9" hidden="1" customHeight="1">
      <c r="B271" s="15">
        <v>45570</v>
      </c>
      <c r="C271" s="10">
        <v>482.935</v>
      </c>
      <c r="D271" s="10">
        <v>416.77100000000002</v>
      </c>
      <c r="E271" s="10">
        <v>0</v>
      </c>
      <c r="F271" s="10">
        <v>0</v>
      </c>
      <c r="G271" s="10">
        <v>616.85699999999997</v>
      </c>
      <c r="H271" s="10">
        <v>118.827</v>
      </c>
      <c r="I271" s="10">
        <v>10045.601000000001</v>
      </c>
      <c r="J271" s="10">
        <v>2672.5920000000001</v>
      </c>
      <c r="K271" s="10">
        <v>583.47500000000002</v>
      </c>
      <c r="L271" s="10">
        <v>36.380000000000003</v>
      </c>
      <c r="M271" s="10">
        <v>0</v>
      </c>
      <c r="N271" s="11">
        <f t="shared" si="18"/>
        <v>14973.438</v>
      </c>
      <c r="O271" s="11">
        <f>N271+'59a'!P272+'59a'!G272</f>
        <v>92583.868000000002</v>
      </c>
    </row>
    <row r="272" spans="2:15" s="8" customFormat="1" ht="34.5" hidden="1" customHeight="1">
      <c r="B272" s="14">
        <v>45599</v>
      </c>
      <c r="C272" s="6">
        <v>380.21499999999997</v>
      </c>
      <c r="D272" s="6">
        <v>494.23599999999999</v>
      </c>
      <c r="E272" s="6">
        <v>0</v>
      </c>
      <c r="F272" s="6">
        <v>0</v>
      </c>
      <c r="G272" s="6">
        <v>198.22200000000001</v>
      </c>
      <c r="H272" s="6">
        <v>150.84899999999999</v>
      </c>
      <c r="I272" s="6">
        <v>10833.019</v>
      </c>
      <c r="J272" s="6">
        <v>5637.232</v>
      </c>
      <c r="K272" s="6">
        <v>1963.577</v>
      </c>
      <c r="L272" s="6">
        <v>3.8079999999999998</v>
      </c>
      <c r="M272" s="6">
        <v>0</v>
      </c>
      <c r="N272" s="7">
        <f t="shared" si="18"/>
        <v>19661.158000000003</v>
      </c>
      <c r="O272" s="7">
        <f>N272+'59a'!P273+'59a'!G273</f>
        <v>96000.788</v>
      </c>
    </row>
    <row r="273" spans="2:17" s="8" customFormat="1" ht="34.9" hidden="1" customHeight="1">
      <c r="B273" s="60">
        <v>45628</v>
      </c>
      <c r="C273" s="61">
        <v>2798.7489999999998</v>
      </c>
      <c r="D273" s="61">
        <v>526.11900000000003</v>
      </c>
      <c r="E273" s="61">
        <v>0</v>
      </c>
      <c r="F273" s="61">
        <v>0</v>
      </c>
      <c r="G273" s="61">
        <v>264.94099999999997</v>
      </c>
      <c r="H273" s="61">
        <v>86.745999999999995</v>
      </c>
      <c r="I273" s="61">
        <v>14699.018</v>
      </c>
      <c r="J273" s="61">
        <v>2474.1529999999998</v>
      </c>
      <c r="K273" s="61">
        <v>1046.991</v>
      </c>
      <c r="L273" s="61">
        <v>87.51</v>
      </c>
      <c r="M273" s="61">
        <v>0</v>
      </c>
      <c r="N273" s="62">
        <f t="shared" si="18"/>
        <v>21984.226999999995</v>
      </c>
      <c r="O273" s="62">
        <f>N273+'59a'!P274+'59a'!G274</f>
        <v>132894.96899999998</v>
      </c>
      <c r="P273"/>
      <c r="Q273"/>
    </row>
    <row r="274" spans="2:17" s="8" customFormat="1" ht="34.9" customHeight="1">
      <c r="B274" s="3">
        <v>2025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3"/>
      <c r="O274" s="13"/>
      <c r="P274"/>
      <c r="Q274"/>
    </row>
    <row r="275" spans="2:17" s="8" customFormat="1" ht="34.9" hidden="1" customHeight="1">
      <c r="B275" s="14">
        <v>45658</v>
      </c>
      <c r="C275" s="6">
        <v>2787.14</v>
      </c>
      <c r="D275" s="6">
        <v>418.17599999999999</v>
      </c>
      <c r="E275" s="6">
        <v>0</v>
      </c>
      <c r="F275" s="6">
        <v>0</v>
      </c>
      <c r="G275" s="6">
        <v>224.285</v>
      </c>
      <c r="H275" s="6">
        <v>66.412000000000006</v>
      </c>
      <c r="I275" s="6">
        <v>25296.996999999999</v>
      </c>
      <c r="J275" s="6">
        <v>1101.067</v>
      </c>
      <c r="K275" s="6">
        <v>1126.8510000000001</v>
      </c>
      <c r="L275" s="6">
        <v>27.222000000000001</v>
      </c>
      <c r="M275" s="6">
        <v>0</v>
      </c>
      <c r="N275" s="7">
        <f t="shared" ref="N275:N279" si="19">SUM(C275:M275)</f>
        <v>31048.149999999998</v>
      </c>
      <c r="O275" s="7">
        <f>N275+'59a'!P276+'59a'!G276</f>
        <v>141713.64799999999</v>
      </c>
      <c r="P275"/>
      <c r="Q275"/>
    </row>
    <row r="276" spans="2:17" s="8" customFormat="1" ht="34.9" hidden="1" customHeight="1">
      <c r="B276" s="15">
        <v>45689</v>
      </c>
      <c r="C276" s="10">
        <v>995.40899999999999</v>
      </c>
      <c r="D276" s="10">
        <v>507.36500000000001</v>
      </c>
      <c r="E276" s="10">
        <v>0</v>
      </c>
      <c r="F276" s="10">
        <v>0</v>
      </c>
      <c r="G276" s="10">
        <v>785.26099999999997</v>
      </c>
      <c r="H276" s="10">
        <v>53.357999999999997</v>
      </c>
      <c r="I276" s="10">
        <v>14182.53</v>
      </c>
      <c r="J276" s="10">
        <v>732.18</v>
      </c>
      <c r="K276" s="10">
        <v>1002.486</v>
      </c>
      <c r="L276" s="10">
        <v>55.491999999999997</v>
      </c>
      <c r="M276" s="10">
        <v>0</v>
      </c>
      <c r="N276" s="11">
        <f>SUM(C276:M276)</f>
        <v>18314.081000000002</v>
      </c>
      <c r="O276" s="11">
        <f>N276+'59a'!P277+'59a'!G277</f>
        <v>113296.17499999999</v>
      </c>
      <c r="P276"/>
      <c r="Q276"/>
    </row>
    <row r="277" spans="2:17" s="8" customFormat="1" ht="34.9" hidden="1" customHeight="1">
      <c r="B277" s="14">
        <v>45717</v>
      </c>
      <c r="C277" s="6">
        <v>2211.3119999999999</v>
      </c>
      <c r="D277" s="6">
        <v>139.636</v>
      </c>
      <c r="E277" s="6">
        <v>0</v>
      </c>
      <c r="F277" s="6">
        <v>0</v>
      </c>
      <c r="G277" s="6">
        <v>178.779</v>
      </c>
      <c r="H277" s="6">
        <v>67.53</v>
      </c>
      <c r="I277" s="6">
        <v>20032.439999999999</v>
      </c>
      <c r="J277" s="6">
        <v>503.57499999999999</v>
      </c>
      <c r="K277" s="6">
        <v>587.90300000000002</v>
      </c>
      <c r="L277" s="6">
        <v>53.646000000000001</v>
      </c>
      <c r="M277" s="6">
        <v>0</v>
      </c>
      <c r="N277" s="7">
        <f t="shared" si="19"/>
        <v>23774.821</v>
      </c>
      <c r="O277" s="7">
        <f>N277+'59a'!P278+'59a'!G278</f>
        <v>110235.473</v>
      </c>
      <c r="P277"/>
      <c r="Q277"/>
    </row>
    <row r="278" spans="2:17" s="8" customFormat="1" ht="34.9" hidden="1" customHeight="1">
      <c r="B278" s="15">
        <v>45748</v>
      </c>
      <c r="C278" s="10">
        <v>232.422</v>
      </c>
      <c r="D278" s="10">
        <v>109.467</v>
      </c>
      <c r="E278" s="10">
        <v>0</v>
      </c>
      <c r="F278" s="10">
        <v>0</v>
      </c>
      <c r="G278" s="10">
        <v>135.565</v>
      </c>
      <c r="H278" s="10">
        <v>4.3239999999999998</v>
      </c>
      <c r="I278" s="10">
        <v>30868.147000000001</v>
      </c>
      <c r="J278" s="10">
        <v>1469.056</v>
      </c>
      <c r="K278" s="10">
        <v>1899.998</v>
      </c>
      <c r="L278" s="10">
        <v>104.65900000000001</v>
      </c>
      <c r="M278" s="10">
        <v>0</v>
      </c>
      <c r="N278" s="11">
        <f t="shared" si="19"/>
        <v>34823.637999999999</v>
      </c>
      <c r="O278" s="11">
        <f>N278+'59a'!P279+'59a'!G279</f>
        <v>139424.77900000001</v>
      </c>
    </row>
    <row r="279" spans="2:17" s="8" customFormat="1" ht="34.9" hidden="1" customHeight="1">
      <c r="B279" s="14">
        <v>45778</v>
      </c>
      <c r="C279" s="6">
        <v>404.21600000000001</v>
      </c>
      <c r="D279" s="6">
        <v>674.32500000000005</v>
      </c>
      <c r="E279" s="6">
        <v>0</v>
      </c>
      <c r="F279" s="6">
        <v>0</v>
      </c>
      <c r="G279" s="6">
        <v>3394.7849999999999</v>
      </c>
      <c r="H279" s="6">
        <v>0</v>
      </c>
      <c r="I279" s="6">
        <v>25941.457999999999</v>
      </c>
      <c r="J279" s="6">
        <v>1943.6780000000001</v>
      </c>
      <c r="K279" s="6">
        <v>8558.0709999999999</v>
      </c>
      <c r="L279" s="6">
        <v>30.137</v>
      </c>
      <c r="M279" s="6">
        <v>0</v>
      </c>
      <c r="N279" s="7">
        <f t="shared" si="19"/>
        <v>40946.67</v>
      </c>
      <c r="O279" s="7">
        <f>N279+'59a'!P280+'59a'!G280</f>
        <v>182845.83799999999</v>
      </c>
    </row>
    <row r="280" spans="2:17" s="8" customFormat="1" ht="34.9" hidden="1" customHeight="1">
      <c r="B280" s="15">
        <v>45810</v>
      </c>
      <c r="C280" s="10">
        <v>235.572</v>
      </c>
      <c r="D280" s="10">
        <v>626.47199999999998</v>
      </c>
      <c r="E280" s="10">
        <v>0</v>
      </c>
      <c r="F280" s="10">
        <v>0</v>
      </c>
      <c r="G280" s="10">
        <v>134.26900000000001</v>
      </c>
      <c r="H280" s="10">
        <v>0</v>
      </c>
      <c r="I280" s="10">
        <v>36644.535000000003</v>
      </c>
      <c r="J280" s="10">
        <v>1346.33</v>
      </c>
      <c r="K280" s="10">
        <v>2386.672</v>
      </c>
      <c r="L280" s="10">
        <v>62.183</v>
      </c>
      <c r="M280" s="10">
        <v>0</v>
      </c>
      <c r="N280" s="11">
        <f t="shared" ref="N280:N284" si="20">SUM(C280:M280)</f>
        <v>41436.033000000003</v>
      </c>
      <c r="O280" s="11">
        <f>N280+'59a'!P281+'59a'!G281</f>
        <v>166336.753</v>
      </c>
    </row>
    <row r="281" spans="2:17" s="8" customFormat="1" ht="34.9" hidden="1" customHeight="1">
      <c r="B281" s="14">
        <v>45863</v>
      </c>
      <c r="C281" s="6">
        <v>325.20800000000003</v>
      </c>
      <c r="D281" s="6">
        <v>964.726</v>
      </c>
      <c r="E281" s="6">
        <v>0</v>
      </c>
      <c r="F281" s="6">
        <v>0</v>
      </c>
      <c r="G281" s="6">
        <v>236.52</v>
      </c>
      <c r="H281" s="6">
        <v>0</v>
      </c>
      <c r="I281" s="6">
        <v>92521.930999999997</v>
      </c>
      <c r="J281" s="6">
        <v>1620.518</v>
      </c>
      <c r="K281" s="6">
        <v>2685.8919999999998</v>
      </c>
      <c r="L281" s="6">
        <v>161.93899999999999</v>
      </c>
      <c r="M281" s="6">
        <v>0</v>
      </c>
      <c r="N281" s="7">
        <f t="shared" si="20"/>
        <v>98516.733999999982</v>
      </c>
      <c r="O281" s="7">
        <f>N281+'59a'!P282+'59a'!G282</f>
        <v>260246.033</v>
      </c>
    </row>
    <row r="282" spans="2:17" s="8" customFormat="1" ht="34.9" customHeight="1">
      <c r="B282" s="15">
        <v>45894</v>
      </c>
      <c r="C282" s="10">
        <v>732.726</v>
      </c>
      <c r="D282" s="10">
        <v>587.45000000000005</v>
      </c>
      <c r="E282" s="10">
        <v>0</v>
      </c>
      <c r="F282" s="10">
        <v>0</v>
      </c>
      <c r="G282" s="10">
        <v>413.904</v>
      </c>
      <c r="H282" s="10">
        <v>0</v>
      </c>
      <c r="I282" s="10">
        <v>42644.01</v>
      </c>
      <c r="J282" s="10">
        <v>1914.443</v>
      </c>
      <c r="K282" s="10">
        <v>1917.2840000000001</v>
      </c>
      <c r="L282" s="10">
        <v>65.052999999999997</v>
      </c>
      <c r="M282" s="10">
        <v>0</v>
      </c>
      <c r="N282" s="11">
        <f t="shared" si="20"/>
        <v>48274.87</v>
      </c>
      <c r="O282" s="11">
        <f>N282+'59a'!P283+'59a'!G283</f>
        <v>179437.413</v>
      </c>
    </row>
    <row r="283" spans="2:17" s="8" customFormat="1" ht="34.9" customHeight="1">
      <c r="B283" s="14">
        <v>45925</v>
      </c>
      <c r="C283" s="6">
        <v>1096.732</v>
      </c>
      <c r="D283" s="6">
        <v>753.12300000000005</v>
      </c>
      <c r="E283" s="6">
        <v>0</v>
      </c>
      <c r="F283" s="6">
        <v>0</v>
      </c>
      <c r="G283" s="6">
        <v>531.79100000000005</v>
      </c>
      <c r="H283" s="6">
        <v>0</v>
      </c>
      <c r="I283" s="6">
        <v>59931.6</v>
      </c>
      <c r="J283" s="6">
        <v>1903.5450000000001</v>
      </c>
      <c r="K283" s="6">
        <v>1179.1780000000001</v>
      </c>
      <c r="L283" s="6">
        <v>75.998000000000005</v>
      </c>
      <c r="M283" s="6">
        <v>0</v>
      </c>
      <c r="N283" s="7">
        <f t="shared" si="20"/>
        <v>65471.966999999997</v>
      </c>
      <c r="O283" s="7">
        <f>N283+'59a'!P284+'59a'!G284</f>
        <v>207265.663</v>
      </c>
    </row>
    <row r="284" spans="2:17" s="8" customFormat="1" ht="34.9" customHeight="1">
      <c r="B284" s="15">
        <v>45955</v>
      </c>
      <c r="C284" s="10">
        <v>689.39499999999998</v>
      </c>
      <c r="D284" s="10">
        <v>614.86300000000006</v>
      </c>
      <c r="E284" s="10">
        <v>0</v>
      </c>
      <c r="F284" s="10">
        <v>0</v>
      </c>
      <c r="G284" s="10">
        <v>436.69299999999998</v>
      </c>
      <c r="H284" s="10">
        <v>0</v>
      </c>
      <c r="I284" s="10">
        <v>48509.557999999997</v>
      </c>
      <c r="J284" s="10">
        <v>3644.328</v>
      </c>
      <c r="K284" s="10">
        <v>17074.534</v>
      </c>
      <c r="L284" s="10">
        <v>184.54300000000001</v>
      </c>
      <c r="M284" s="10">
        <v>0</v>
      </c>
      <c r="N284" s="11">
        <f t="shared" si="20"/>
        <v>71153.914000000004</v>
      </c>
      <c r="O284" s="11">
        <f>N284+'59a'!P285+'59a'!G285</f>
        <v>274158.505</v>
      </c>
      <c r="P284"/>
      <c r="Q284"/>
    </row>
    <row r="285" spans="2:17" s="8" customFormat="1" ht="34.9" customHeight="1">
      <c r="B285" s="14">
        <v>45986</v>
      </c>
      <c r="C285" s="6">
        <v>645.38499999999999</v>
      </c>
      <c r="D285" s="6">
        <v>1408.998</v>
      </c>
      <c r="E285" s="6">
        <v>0</v>
      </c>
      <c r="F285" s="6">
        <v>0</v>
      </c>
      <c r="G285" s="6">
        <v>323.69600000000003</v>
      </c>
      <c r="H285" s="6">
        <v>379.839</v>
      </c>
      <c r="I285" s="6">
        <v>30019.274000000001</v>
      </c>
      <c r="J285" s="6">
        <v>1979.78</v>
      </c>
      <c r="K285" s="6">
        <v>10975.424000000001</v>
      </c>
      <c r="L285" s="6">
        <v>306.69900000000001</v>
      </c>
      <c r="M285" s="6">
        <v>0</v>
      </c>
      <c r="N285" s="7">
        <f>SUM(C285:M285)</f>
        <v>46039.095000000001</v>
      </c>
      <c r="O285" s="7">
        <f>N285+'59a'!P286+'59a'!G286</f>
        <v>203130.5</v>
      </c>
    </row>
    <row r="286" spans="2:17" s="8" customFormat="1" ht="34.9" customHeight="1">
      <c r="B286" s="60">
        <v>46016</v>
      </c>
      <c r="C286" s="61">
        <v>731.79200000000003</v>
      </c>
      <c r="D286" s="61">
        <v>328.76499999999999</v>
      </c>
      <c r="E286" s="61">
        <v>0</v>
      </c>
      <c r="F286" s="61">
        <v>0</v>
      </c>
      <c r="G286" s="61">
        <v>813.50800000000004</v>
      </c>
      <c r="H286" s="61">
        <v>138.74299999999999</v>
      </c>
      <c r="I286" s="61">
        <v>20475.965</v>
      </c>
      <c r="J286" s="61">
        <v>5648.42</v>
      </c>
      <c r="K286" s="61">
        <v>10854.578</v>
      </c>
      <c r="L286" s="61">
        <v>105.541</v>
      </c>
      <c r="M286" s="61">
        <v>0</v>
      </c>
      <c r="N286" s="62">
        <f>SUM(C286:M286)</f>
        <v>39097.311999999998</v>
      </c>
      <c r="O286" s="62">
        <f>N286+'59a'!P287+'59a'!G287</f>
        <v>187217.68700000001</v>
      </c>
      <c r="P286"/>
      <c r="Q286"/>
    </row>
    <row r="287" spans="2:17" s="8" customFormat="1" ht="34.9" customHeight="1">
      <c r="B287" s="3">
        <v>2026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3"/>
      <c r="P287"/>
      <c r="Q287"/>
    </row>
    <row r="288" spans="2:17" s="8" customFormat="1" ht="34.9" customHeight="1">
      <c r="B288" s="14">
        <v>46023</v>
      </c>
      <c r="C288" s="6">
        <v>7323.6959999999999</v>
      </c>
      <c r="D288" s="6">
        <v>989.26800000000003</v>
      </c>
      <c r="E288" s="6">
        <v>0</v>
      </c>
      <c r="F288" s="6">
        <v>0</v>
      </c>
      <c r="G288" s="6">
        <v>1181.442</v>
      </c>
      <c r="H288" s="6">
        <v>43.838000000000001</v>
      </c>
      <c r="I288" s="6">
        <v>20996.886999999999</v>
      </c>
      <c r="J288" s="6">
        <v>6791.4309999999996</v>
      </c>
      <c r="K288" s="6">
        <v>5115.1509999999998</v>
      </c>
      <c r="L288" s="6">
        <v>105.20699999999999</v>
      </c>
      <c r="M288" s="6">
        <v>0</v>
      </c>
      <c r="N288" s="7">
        <f>SUM(C288:M288)</f>
        <v>42546.92</v>
      </c>
      <c r="O288" s="7">
        <f>N288+'59a'!P289+'59a'!G289</f>
        <v>181351.71400000001</v>
      </c>
      <c r="P288"/>
      <c r="Q288"/>
    </row>
    <row r="289" spans="2:17" s="8" customFormat="1" ht="34.9" customHeight="1">
      <c r="B289" s="15">
        <v>46054</v>
      </c>
      <c r="C289" s="10">
        <v>4815.5020000000004</v>
      </c>
      <c r="D289" s="10">
        <v>1199.6500000000001</v>
      </c>
      <c r="E289" s="10">
        <v>0</v>
      </c>
      <c r="F289" s="10">
        <v>0</v>
      </c>
      <c r="G289" s="10">
        <v>441.86200000000002</v>
      </c>
      <c r="H289" s="10">
        <v>96.677000000000007</v>
      </c>
      <c r="I289" s="10">
        <v>36888.491999999998</v>
      </c>
      <c r="J289" s="10">
        <v>2499.2910000000002</v>
      </c>
      <c r="K289" s="10">
        <v>3500.2040000000002</v>
      </c>
      <c r="L289" s="10">
        <v>93.397000000000006</v>
      </c>
      <c r="M289" s="10">
        <v>0</v>
      </c>
      <c r="N289" s="11">
        <f>SUM(C289:M289)</f>
        <v>49535.07499999999</v>
      </c>
      <c r="O289" s="11">
        <f>N289+'59a'!P290+'59a'!G290</f>
        <v>215244.66699999999</v>
      </c>
      <c r="P289"/>
      <c r="Q289"/>
    </row>
    <row r="290" spans="2:17" s="8" customFormat="1" ht="34.9" customHeight="1">
      <c r="B290" s="14">
        <v>46082</v>
      </c>
      <c r="C290" s="6">
        <v>1115.009</v>
      </c>
      <c r="D290" s="6">
        <v>1293.48</v>
      </c>
      <c r="E290" s="6">
        <v>0</v>
      </c>
      <c r="F290" s="6">
        <v>0</v>
      </c>
      <c r="G290" s="6">
        <v>156.31700000000001</v>
      </c>
      <c r="H290" s="6">
        <v>29.06</v>
      </c>
      <c r="I290" s="6">
        <v>92783.606</v>
      </c>
      <c r="J290" s="6">
        <v>1128.5419999999999</v>
      </c>
      <c r="K290" s="6">
        <v>4380.88</v>
      </c>
      <c r="L290" s="6">
        <v>116.479</v>
      </c>
      <c r="M290" s="6">
        <v>0</v>
      </c>
      <c r="N290" s="7">
        <f t="shared" ref="N290:N294" si="21">SUM(C290:M290)</f>
        <v>101003.37300000001</v>
      </c>
      <c r="O290" s="7">
        <f>N290+'59a'!P291+'59a'!G291</f>
        <v>253054.81300000002</v>
      </c>
      <c r="P290"/>
      <c r="Q290"/>
    </row>
    <row r="291" spans="2:17" s="8" customFormat="1" ht="34.9" customHeight="1">
      <c r="B291" s="15">
        <v>46113</v>
      </c>
      <c r="C291" s="10">
        <v>12705.31</v>
      </c>
      <c r="D291" s="10">
        <v>485.88</v>
      </c>
      <c r="E291" s="10">
        <v>0</v>
      </c>
      <c r="F291" s="10">
        <v>0</v>
      </c>
      <c r="G291" s="10">
        <v>340.55799999999999</v>
      </c>
      <c r="H291" s="10">
        <v>38.801000000000002</v>
      </c>
      <c r="I291" s="10">
        <v>94684.452999999994</v>
      </c>
      <c r="J291" s="10">
        <v>7191.4409999999998</v>
      </c>
      <c r="K291" s="10">
        <v>13856.214</v>
      </c>
      <c r="L291" s="10">
        <v>71.882000000000005</v>
      </c>
      <c r="M291" s="10">
        <v>0</v>
      </c>
      <c r="N291" s="11">
        <f t="shared" si="21"/>
        <v>129374.539</v>
      </c>
      <c r="O291" s="11">
        <f>N291+'59a'!P292+'59a'!G292</f>
        <v>345370.533</v>
      </c>
      <c r="P291"/>
      <c r="Q291"/>
    </row>
    <row r="292" spans="2:17" s="8" customFormat="1" ht="34.9" customHeight="1">
      <c r="B292" s="14">
        <v>46143</v>
      </c>
      <c r="C292" s="6">
        <v>9843.7049999999999</v>
      </c>
      <c r="D292" s="6">
        <v>828.25599999999997</v>
      </c>
      <c r="E292" s="6">
        <v>0</v>
      </c>
      <c r="F292" s="6">
        <v>0</v>
      </c>
      <c r="G292" s="6">
        <v>307.36099999999999</v>
      </c>
      <c r="H292" s="6">
        <v>11.222</v>
      </c>
      <c r="I292" s="6">
        <v>56241.133000000002</v>
      </c>
      <c r="J292" s="6">
        <v>23525.34</v>
      </c>
      <c r="K292" s="6">
        <v>7516.5739999999996</v>
      </c>
      <c r="L292" s="6">
        <v>105.964</v>
      </c>
      <c r="M292" s="6">
        <v>0</v>
      </c>
      <c r="N292" s="7">
        <f t="shared" si="21"/>
        <v>98379.554999999993</v>
      </c>
      <c r="O292" s="7">
        <f>N292+'59a'!P293+'59a'!G293</f>
        <v>283512.71400000004</v>
      </c>
      <c r="P292"/>
      <c r="Q292"/>
    </row>
    <row r="293" spans="2:17" s="8" customFormat="1" ht="34.9" customHeight="1">
      <c r="B293" s="15">
        <v>46175</v>
      </c>
      <c r="C293" s="10">
        <v>1428.7719999999999</v>
      </c>
      <c r="D293" s="10">
        <v>431.84699999999998</v>
      </c>
      <c r="E293" s="10">
        <v>0</v>
      </c>
      <c r="F293" s="10">
        <v>0</v>
      </c>
      <c r="G293" s="10">
        <v>461.09</v>
      </c>
      <c r="H293" s="10">
        <v>0</v>
      </c>
      <c r="I293" s="10">
        <v>132744.337</v>
      </c>
      <c r="J293" s="10">
        <v>15641.098</v>
      </c>
      <c r="K293" s="10">
        <v>24435.562999999998</v>
      </c>
      <c r="L293" s="10">
        <v>350.25</v>
      </c>
      <c r="M293" s="10">
        <v>0</v>
      </c>
      <c r="N293" s="11">
        <f t="shared" si="21"/>
        <v>175492.95699999999</v>
      </c>
      <c r="O293" s="11">
        <f>N293+'59a'!P294+'59a'!G294</f>
        <v>358489.598</v>
      </c>
      <c r="P293"/>
      <c r="Q293"/>
    </row>
    <row r="294" spans="2:17" s="8" customFormat="1" ht="34.9" customHeight="1">
      <c r="B294" s="14">
        <v>46229</v>
      </c>
      <c r="C294" s="6">
        <v>934.48500000000001</v>
      </c>
      <c r="D294" s="6">
        <v>410.13200000000001</v>
      </c>
      <c r="E294" s="6">
        <v>0</v>
      </c>
      <c r="F294" s="6">
        <v>0</v>
      </c>
      <c r="G294" s="6">
        <v>245.608</v>
      </c>
      <c r="H294" s="6">
        <v>0</v>
      </c>
      <c r="I294" s="6">
        <v>57366.813000000002</v>
      </c>
      <c r="J294" s="6">
        <v>764.26599999999996</v>
      </c>
      <c r="K294" s="6">
        <v>32006.738000000001</v>
      </c>
      <c r="L294" s="6">
        <v>179.922</v>
      </c>
      <c r="M294" s="6">
        <v>0</v>
      </c>
      <c r="N294" s="7">
        <f t="shared" si="21"/>
        <v>91907.964000000007</v>
      </c>
      <c r="O294" s="7">
        <f>N294+'59a'!P295+'59a'!G295</f>
        <v>296157.82700000005</v>
      </c>
      <c r="P294"/>
      <c r="Q294"/>
    </row>
    <row r="295" spans="2:17" s="8" customFormat="1" ht="34.9" customHeight="1">
      <c r="B295" s="60">
        <v>46252</v>
      </c>
      <c r="C295" s="61">
        <v>2530.3429999999998</v>
      </c>
      <c r="D295" s="61">
        <v>694.13499999999999</v>
      </c>
      <c r="E295" s="61">
        <v>0</v>
      </c>
      <c r="F295" s="61">
        <v>0</v>
      </c>
      <c r="G295" s="61">
        <v>385.74400000000003</v>
      </c>
      <c r="H295" s="61">
        <v>0</v>
      </c>
      <c r="I295" s="61">
        <v>22691.392</v>
      </c>
      <c r="J295" s="61">
        <v>18417.339</v>
      </c>
      <c r="K295" s="61">
        <v>9881.1080000000002</v>
      </c>
      <c r="L295" s="61">
        <v>34.091999999999999</v>
      </c>
      <c r="M295" s="61">
        <v>0</v>
      </c>
      <c r="N295" s="62">
        <f t="shared" ref="N295" si="22">SUM(C295:M295)</f>
        <v>54634.152999999998</v>
      </c>
      <c r="O295" s="62">
        <f>N295+'59a'!P296+'59a'!G296</f>
        <v>252643.61900000001</v>
      </c>
      <c r="P295"/>
      <c r="Q295"/>
    </row>
    <row r="296" spans="2:17" s="8" customFormat="1" ht="10.15" customHeight="1">
      <c r="B296" s="71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3"/>
      <c r="O296" s="73"/>
      <c r="P296" s="73"/>
    </row>
    <row r="297" spans="2:17" s="87" customFormat="1" ht="19.5" customHeight="1">
      <c r="B297" s="86" t="s">
        <v>95</v>
      </c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86"/>
      <c r="N297" s="75"/>
      <c r="O297" s="77" t="s">
        <v>93</v>
      </c>
    </row>
    <row r="298" spans="2:17" s="82" customFormat="1" ht="43.5" customHeight="1">
      <c r="B298" s="161" t="s">
        <v>150</v>
      </c>
      <c r="C298" s="161"/>
      <c r="D298" s="161"/>
      <c r="E298" s="161"/>
      <c r="F298" s="161"/>
      <c r="G298" s="161"/>
      <c r="H298" s="4"/>
      <c r="I298" s="4"/>
      <c r="J298" s="174" t="s">
        <v>153</v>
      </c>
      <c r="K298" s="174"/>
      <c r="L298" s="174"/>
      <c r="M298" s="174"/>
      <c r="N298" s="174"/>
      <c r="O298" s="174"/>
    </row>
    <row r="299" spans="2:17" s="2" customFormat="1" ht="38.25" customHeight="1">
      <c r="B299" s="161" t="s">
        <v>163</v>
      </c>
      <c r="C299" s="161"/>
      <c r="D299" s="161"/>
      <c r="E299" s="161"/>
      <c r="F299" s="161"/>
      <c r="G299" s="161"/>
      <c r="H299" s="161"/>
      <c r="J299" s="159" t="s">
        <v>164</v>
      </c>
      <c r="K299" s="160"/>
      <c r="L299" s="160"/>
      <c r="M299" s="160"/>
      <c r="N299" s="160"/>
      <c r="O299" s="160"/>
      <c r="P299" s="151"/>
    </row>
    <row r="300" spans="2:17" ht="1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</row>
    <row r="301" spans="2:17" ht="1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</row>
    <row r="302" spans="2:17" ht="1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</row>
    <row r="303" spans="2:17" ht="1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</row>
    <row r="304" spans="2:17" ht="1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</row>
    <row r="305" spans="2:15" ht="1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</row>
    <row r="306" spans="2:15" ht="1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</row>
    <row r="307" spans="2:15" ht="1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</row>
    <row r="308" spans="2:15" ht="1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2:15" ht="1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</row>
    <row r="310" spans="2:15" ht="1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</row>
    <row r="311" spans="2:15" ht="1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</row>
    <row r="312" spans="2:15" ht="1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</row>
    <row r="313" spans="2:15" ht="1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</row>
    <row r="314" spans="2:15" ht="1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</row>
    <row r="315" spans="2:15" ht="1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</row>
    <row r="316" spans="2:15" ht="1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</row>
    <row r="317" spans="2:15" ht="1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</row>
    <row r="318" spans="2:15" ht="1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</row>
    <row r="319" spans="2:15" ht="1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</row>
    <row r="320" spans="2:15" ht="1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</row>
    <row r="321" spans="2:15" ht="1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</row>
    <row r="322" spans="2:15" ht="1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</row>
    <row r="323" spans="2:15" ht="1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</row>
    <row r="324" spans="2:15" ht="1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</row>
    <row r="325" spans="2:15" ht="1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</row>
    <row r="326" spans="2:15" ht="1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</row>
    <row r="327" spans="2:15" ht="1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</row>
    <row r="328" spans="2:15" ht="1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</row>
    <row r="329" spans="2:15" ht="1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</row>
    <row r="330" spans="2:15" ht="1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</row>
    <row r="331" spans="2:15" ht="1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</row>
    <row r="332" spans="2:15" ht="1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</row>
    <row r="333" spans="2:15" ht="1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</row>
    <row r="334" spans="2:15" ht="1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</row>
    <row r="335" spans="2:15" ht="1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</row>
    <row r="336" spans="2:15" ht="1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</row>
    <row r="337" spans="2:15" ht="1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</row>
    <row r="338" spans="2:15" ht="1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</row>
    <row r="339" spans="2:15" ht="1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</row>
    <row r="340" spans="2:15" ht="1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</row>
    <row r="341" spans="2:15" ht="1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</row>
    <row r="342" spans="2:15" ht="1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</row>
    <row r="343" spans="2:15" ht="1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</row>
    <row r="344" spans="2:15" ht="1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</row>
    <row r="345" spans="2:15" ht="1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</row>
    <row r="346" spans="2:15" ht="1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</row>
    <row r="347" spans="2:15" ht="1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</row>
    <row r="348" spans="2:15" ht="1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</row>
    <row r="349" spans="2:15" ht="1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</row>
    <row r="350" spans="2:15" ht="1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</row>
    <row r="351" spans="2:15" ht="1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</row>
    <row r="352" spans="2:15" ht="1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</row>
    <row r="353" spans="2:15" ht="1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</row>
    <row r="354" spans="2:15" ht="1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</row>
    <row r="355" spans="2:15" ht="1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</row>
    <row r="356" spans="2:15" ht="1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</row>
    <row r="357" spans="2:15" ht="1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</row>
    <row r="358" spans="2:15" ht="1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</row>
    <row r="359" spans="2:15" ht="1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</row>
    <row r="360" spans="2:15" ht="1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</row>
    <row r="361" spans="2:15" ht="1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</row>
    <row r="362" spans="2:15" ht="1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</row>
    <row r="363" spans="2:15" ht="1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</row>
    <row r="364" spans="2:15" ht="1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</row>
    <row r="365" spans="2:15" ht="1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</row>
    <row r="366" spans="2:15" ht="1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</row>
    <row r="367" spans="2:15" ht="1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</row>
    <row r="368" spans="2:15" ht="1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</row>
    <row r="369" spans="2:15" ht="1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</row>
    <row r="370" spans="2:15" ht="1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</row>
    <row r="371" spans="2:15" ht="1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</row>
    <row r="372" spans="2:15" ht="1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</row>
    <row r="373" spans="2:15" ht="1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</row>
    <row r="374" spans="2:15" ht="1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</row>
    <row r="375" spans="2:15" ht="1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</row>
    <row r="376" spans="2:15" ht="1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</row>
    <row r="377" spans="2:15" ht="1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</row>
    <row r="378" spans="2:15" ht="1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</row>
    <row r="379" spans="2:15" ht="15">
      <c r="B379" s="138"/>
      <c r="C379" s="138"/>
      <c r="D379" s="138"/>
      <c r="E379" s="138"/>
      <c r="F379" s="138"/>
      <c r="G379" s="138"/>
      <c r="H379" s="138"/>
      <c r="I379" s="138"/>
      <c r="J379" s="138"/>
      <c r="K379" s="138"/>
      <c r="L379" s="138"/>
      <c r="M379"/>
      <c r="N379"/>
      <c r="O379"/>
    </row>
    <row r="380" spans="2:15" ht="1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</row>
    <row r="381" spans="2:15" ht="1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</row>
    <row r="382" spans="2:15" ht="1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</row>
    <row r="383" spans="2:15" ht="1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</row>
    <row r="384" spans="2:15" ht="1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</row>
    <row r="385" spans="2:15" ht="1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</row>
    <row r="386" spans="2:15" ht="1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</row>
    <row r="387" spans="2:15" ht="1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</row>
    <row r="388" spans="2:15" ht="1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</row>
    <row r="389" spans="2:15" ht="1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</row>
    <row r="390" spans="2:15" ht="1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</row>
    <row r="391" spans="2:15" ht="1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</row>
    <row r="392" spans="2:15" ht="1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</row>
    <row r="393" spans="2:15" ht="1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</row>
    <row r="394" spans="2:15" ht="1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</row>
    <row r="395" spans="2:15" ht="1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</row>
    <row r="396" spans="2:15" ht="1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</row>
    <row r="397" spans="2:15" ht="1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</row>
    <row r="398" spans="2:15" ht="1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</row>
    <row r="399" spans="2:15" ht="1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</row>
    <row r="400" spans="2:15" ht="1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</row>
    <row r="401" spans="2:15" ht="1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</row>
    <row r="402" spans="2:15" ht="1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</row>
    <row r="403" spans="2:15" ht="1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</row>
    <row r="404" spans="2:15" ht="1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</row>
    <row r="405" spans="2:15" ht="1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</row>
    <row r="406" spans="2:15" ht="1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</row>
    <row r="407" spans="2:15" ht="1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</row>
    <row r="408" spans="2:15" ht="1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</row>
    <row r="409" spans="2:15" ht="1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</row>
    <row r="410" spans="2:15" ht="1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</row>
    <row r="411" spans="2:15" ht="1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</row>
    <row r="412" spans="2:15" ht="1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</row>
    <row r="413" spans="2:15" ht="1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</row>
    <row r="414" spans="2:15" ht="1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</row>
    <row r="415" spans="2:15" ht="1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</row>
    <row r="416" spans="2:15" ht="1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</row>
    <row r="417" spans="2:15" ht="1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</row>
    <row r="418" spans="2:15" ht="1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</row>
    <row r="419" spans="2:15" ht="1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</row>
    <row r="420" spans="2:15" ht="1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</row>
    <row r="421" spans="2:15" ht="1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</row>
    <row r="422" spans="2:15" ht="1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</row>
    <row r="423" spans="2:15" ht="1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</row>
    <row r="424" spans="2:15" ht="1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</row>
    <row r="425" spans="2:15" ht="1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</row>
    <row r="426" spans="2:15" ht="1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</row>
    <row r="427" spans="2:15" ht="1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</row>
    <row r="428" spans="2:15" ht="1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</row>
    <row r="429" spans="2:15" ht="1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</row>
    <row r="430" spans="2:15" ht="1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</row>
    <row r="431" spans="2:15" ht="1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</row>
    <row r="432" spans="2:15" ht="1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</row>
    <row r="433" spans="2:15" ht="1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</row>
    <row r="434" spans="2:15" ht="1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</row>
    <row r="435" spans="2:15" ht="1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</row>
    <row r="436" spans="2:15" ht="1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</row>
    <row r="437" spans="2:15" ht="1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</row>
    <row r="438" spans="2:15" ht="1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</row>
    <row r="439" spans="2:15" ht="1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</row>
    <row r="440" spans="2:15" ht="1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</row>
    <row r="441" spans="2:15" ht="1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</row>
    <row r="442" spans="2:15" ht="1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</row>
    <row r="443" spans="2:15" ht="1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</row>
    <row r="444" spans="2:15" ht="1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</row>
    <row r="445" spans="2:15" ht="1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</row>
    <row r="446" spans="2:15" ht="1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</row>
    <row r="447" spans="2:15" ht="1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</row>
    <row r="448" spans="2:15" ht="1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</row>
    <row r="449" spans="2:15" ht="1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</row>
    <row r="450" spans="2:15" ht="1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</row>
    <row r="451" spans="2:15" ht="1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</row>
    <row r="452" spans="2:15" ht="1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</row>
    <row r="453" spans="2:15" ht="1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</row>
    <row r="454" spans="2:15" ht="1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</row>
    <row r="455" spans="2:15" ht="1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</row>
    <row r="456" spans="2:15" ht="1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</row>
    <row r="457" spans="2:15" ht="1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</row>
    <row r="458" spans="2:15" ht="1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</row>
    <row r="459" spans="2:15" ht="1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</row>
    <row r="460" spans="2:15" ht="1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</row>
    <row r="461" spans="2:15" ht="1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</row>
    <row r="462" spans="2:15" ht="1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</row>
    <row r="463" spans="2:15" ht="1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</row>
    <row r="464" spans="2:15" ht="1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</row>
    <row r="465" spans="2:15" ht="1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</row>
    <row r="466" spans="2:15" ht="1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</row>
    <row r="467" spans="2:15" ht="1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</row>
    <row r="468" spans="2:15" ht="1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</row>
    <row r="469" spans="2:15" ht="1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</row>
    <row r="470" spans="2:15" ht="1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</row>
    <row r="471" spans="2:15" ht="1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</row>
    <row r="472" spans="2:15" ht="1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</row>
    <row r="473" spans="2:15" ht="1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</row>
    <row r="474" spans="2:15" ht="1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</row>
    <row r="475" spans="2:15" ht="1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</row>
    <row r="476" spans="2:15" ht="1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</row>
    <row r="477" spans="2:15" ht="1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</row>
    <row r="478" spans="2:15" ht="1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</row>
    <row r="479" spans="2:15" ht="1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</row>
    <row r="480" spans="2:15" ht="1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</row>
    <row r="481" spans="2:15" ht="1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</row>
    <row r="482" spans="2:15" ht="1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</row>
    <row r="483" spans="2:15" ht="1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</row>
    <row r="484" spans="2:15" ht="1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</row>
    <row r="485" spans="2:15" ht="1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</row>
    <row r="486" spans="2:15" ht="1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</row>
    <row r="487" spans="2:15" ht="1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</row>
    <row r="488" spans="2:15" ht="1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</row>
    <row r="489" spans="2:15" ht="1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</row>
    <row r="490" spans="2:15" ht="1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</row>
    <row r="491" spans="2:15" ht="1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</row>
    <row r="492" spans="2:15" ht="1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</row>
    <row r="493" spans="2:15" ht="1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</row>
    <row r="494" spans="2:15" ht="1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</row>
    <row r="495" spans="2:15" ht="1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</row>
    <row r="496" spans="2:15" ht="1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</row>
    <row r="497" spans="2:15" ht="1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</row>
    <row r="498" spans="2:15" ht="1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</row>
    <row r="499" spans="2:15" ht="1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</row>
    <row r="500" spans="2:15" ht="1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</row>
    <row r="501" spans="2:15" ht="1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</row>
    <row r="502" spans="2:15" ht="1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</row>
    <row r="503" spans="2:15" ht="1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</row>
    <row r="504" spans="2:15" ht="1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</row>
    <row r="505" spans="2:15" ht="1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</row>
    <row r="506" spans="2:15" ht="1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</row>
    <row r="507" spans="2:15" ht="1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</row>
    <row r="508" spans="2:15" ht="1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</row>
    <row r="509" spans="2:15" ht="1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</row>
    <row r="510" spans="2:15" ht="1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</row>
    <row r="511" spans="2:15" ht="1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</row>
    <row r="512" spans="2:15" ht="1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</row>
    <row r="513" spans="2:15" ht="1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</row>
    <row r="514" spans="2:15" ht="1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</row>
    <row r="515" spans="2:15" ht="1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</row>
    <row r="516" spans="2:15" ht="1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</row>
    <row r="517" spans="2:15" ht="1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</row>
    <row r="518" spans="2:15" ht="1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</row>
    <row r="519" spans="2:15" ht="1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</row>
    <row r="520" spans="2:15" ht="1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</row>
    <row r="521" spans="2:15" ht="1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</row>
    <row r="522" spans="2:15" ht="1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</row>
    <row r="523" spans="2:15" ht="1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</row>
    <row r="524" spans="2:15" ht="1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</row>
    <row r="525" spans="2:15" ht="1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</row>
    <row r="526" spans="2:15" ht="1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</row>
    <row r="527" spans="2:15" ht="1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</row>
    <row r="528" spans="2:15" ht="1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</row>
    <row r="529" spans="2:15" ht="1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</row>
    <row r="530" spans="2:15" ht="1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</row>
    <row r="531" spans="2:15" ht="1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</row>
    <row r="532" spans="2:15" ht="1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</row>
    <row r="533" spans="2:15" ht="1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</row>
    <row r="534" spans="2:15" ht="1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</row>
    <row r="535" spans="2:15" ht="1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</row>
    <row r="536" spans="2:15" ht="1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</row>
    <row r="537" spans="2:15" ht="1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</row>
    <row r="538" spans="2:15" ht="1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</row>
    <row r="539" spans="2:15" ht="1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</row>
    <row r="540" spans="2:15" ht="1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</row>
    <row r="541" spans="2:15" ht="1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</row>
    <row r="542" spans="2:15" ht="1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</row>
    <row r="543" spans="2:15" ht="1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</row>
    <row r="544" spans="2:15" ht="1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</row>
    <row r="545" spans="2:15" ht="1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</row>
    <row r="546" spans="2:15" ht="1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</row>
    <row r="547" spans="2:15" ht="1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</row>
    <row r="548" spans="2:15" ht="1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</row>
    <row r="549" spans="2:15" ht="1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</row>
    <row r="550" spans="2:15" ht="1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</row>
    <row r="551" spans="2:15" ht="1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</row>
    <row r="552" spans="2:15" ht="1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</row>
    <row r="553" spans="2:15" ht="1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</row>
    <row r="554" spans="2:15" ht="1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</row>
    <row r="555" spans="2:15" ht="1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</row>
    <row r="556" spans="2:15" ht="1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</row>
    <row r="557" spans="2:15" ht="1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</row>
    <row r="558" spans="2:15" ht="1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</row>
    <row r="559" spans="2:15" ht="1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</row>
    <row r="560" spans="2:15" ht="1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</row>
    <row r="561" spans="2:15" ht="1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</row>
    <row r="562" spans="2:15" ht="1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</row>
    <row r="563" spans="2:15" ht="1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</row>
    <row r="564" spans="2:15" ht="1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</row>
    <row r="565" spans="2:15" ht="1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</row>
    <row r="566" spans="2:15" ht="1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</row>
    <row r="567" spans="2:15" ht="1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</row>
    <row r="568" spans="2:15" ht="1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</row>
    <row r="569" spans="2:15" ht="1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</row>
    <row r="570" spans="2:15" ht="1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</row>
    <row r="571" spans="2:15" ht="1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</row>
    <row r="572" spans="2:15" ht="1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</row>
    <row r="573" spans="2:15" ht="1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</row>
    <row r="574" spans="2:15" ht="1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</row>
    <row r="575" spans="2:15" ht="1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</row>
    <row r="576" spans="2:15" ht="1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</row>
    <row r="577" spans="2:15" ht="1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</row>
    <row r="578" spans="2:15" ht="1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</row>
    <row r="579" spans="2:15" ht="1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</row>
    <row r="580" spans="2:15" ht="1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</row>
    <row r="581" spans="2:15" ht="1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</row>
    <row r="582" spans="2:15" ht="1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</row>
    <row r="583" spans="2:15" ht="1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</row>
    <row r="584" spans="2:15" ht="1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</row>
    <row r="585" spans="2:15" ht="1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</row>
    <row r="586" spans="2:15" ht="1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</row>
    <row r="587" spans="2:15" ht="1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</row>
    <row r="588" spans="2:15" ht="1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</row>
    <row r="589" spans="2:15" ht="1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</row>
    <row r="590" spans="2:15" ht="1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</row>
    <row r="591" spans="2:15" ht="1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</row>
    <row r="592" spans="2:15" ht="1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</row>
    <row r="593" spans="2:15" ht="1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</row>
    <row r="594" spans="2:15" ht="1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</row>
    <row r="595" spans="2:15" ht="1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</row>
    <row r="596" spans="2:15" ht="1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</row>
    <row r="597" spans="2:15" ht="1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</row>
    <row r="598" spans="2:15" ht="1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</row>
    <row r="599" spans="2:15" ht="1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</row>
    <row r="600" spans="2:15" ht="1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</row>
    <row r="601" spans="2:15" ht="1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</row>
    <row r="602" spans="2:15" ht="1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</row>
    <row r="603" spans="2:15" ht="1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</row>
    <row r="604" spans="2:15" ht="1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</row>
    <row r="605" spans="2:15" ht="1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</row>
    <row r="606" spans="2:15" ht="1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</row>
    <row r="607" spans="2:15" ht="1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</row>
    <row r="608" spans="2:15" ht="1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</row>
    <row r="609" spans="2:15" ht="1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</row>
    <row r="610" spans="2:15" ht="1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</row>
    <row r="611" spans="2:15" ht="1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</row>
    <row r="612" spans="2:15" ht="1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</row>
    <row r="613" spans="2:15" ht="1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</row>
    <row r="614" spans="2:15" ht="1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</row>
    <row r="615" spans="2:15" ht="1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</row>
    <row r="616" spans="2:15" ht="1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</row>
    <row r="617" spans="2:15" ht="1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</row>
    <row r="618" spans="2:15" ht="1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</row>
    <row r="619" spans="2:15" ht="1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</row>
    <row r="620" spans="2:15" ht="1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</row>
    <row r="621" spans="2:15" ht="1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</row>
    <row r="622" spans="2:15" ht="1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</row>
    <row r="623" spans="2:15" ht="1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</row>
    <row r="624" spans="2:15" ht="1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</row>
    <row r="625" spans="2:15" ht="1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</row>
    <row r="626" spans="2:15" ht="1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</row>
    <row r="627" spans="2:15" ht="1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</row>
    <row r="628" spans="2:15" ht="1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</row>
    <row r="629" spans="2:15" ht="1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</row>
    <row r="630" spans="2:15" ht="1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</row>
    <row r="631" spans="2:15" ht="1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</row>
    <row r="632" spans="2:15" ht="1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</row>
    <row r="633" spans="2:15" ht="1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</row>
    <row r="634" spans="2:15" ht="1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</row>
    <row r="635" spans="2:15" ht="1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</row>
    <row r="636" spans="2:15" ht="1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</row>
    <row r="637" spans="2:15" ht="1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</row>
    <row r="638" spans="2:15" ht="1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</row>
    <row r="639" spans="2:15" ht="1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</row>
    <row r="640" spans="2:15" ht="1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</row>
    <row r="641" spans="2:15" ht="1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</row>
    <row r="642" spans="2:15" ht="1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</row>
    <row r="643" spans="2:15" ht="1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</row>
    <row r="644" spans="2:15" ht="1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</row>
    <row r="645" spans="2:15" ht="1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</row>
    <row r="646" spans="2:15" ht="1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</row>
    <row r="647" spans="2:15" ht="1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</row>
    <row r="648" spans="2:15" ht="1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</row>
    <row r="649" spans="2:15" ht="1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</row>
    <row r="650" spans="2:15" ht="1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</row>
    <row r="651" spans="2:15" ht="1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</row>
    <row r="652" spans="2:15" ht="1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</row>
    <row r="653" spans="2:15" ht="1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</row>
    <row r="654" spans="2:15" ht="1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</row>
    <row r="655" spans="2:15" ht="1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</row>
    <row r="656" spans="2:15" ht="1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</row>
    <row r="657" spans="2:15" ht="1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</row>
    <row r="658" spans="2:15" ht="1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</row>
    <row r="659" spans="2:15" ht="1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</row>
    <row r="660" spans="2:15" ht="1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</row>
    <row r="661" spans="2:15" ht="1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</row>
    <row r="662" spans="2:15" ht="1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</row>
    <row r="663" spans="2:15" ht="1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</row>
    <row r="664" spans="2:15" ht="1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</row>
    <row r="665" spans="2:15" ht="1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</row>
    <row r="666" spans="2:15" ht="1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</row>
    <row r="667" spans="2:15" ht="1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</row>
    <row r="668" spans="2:15" ht="1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</row>
    <row r="669" spans="2:15" ht="1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</row>
    <row r="670" spans="2:15" ht="1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</row>
    <row r="671" spans="2:15" ht="1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</row>
    <row r="672" spans="2:15" ht="1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</row>
    <row r="673" spans="2:15" ht="1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</row>
    <row r="674" spans="2:15" ht="1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</row>
    <row r="675" spans="2:15" ht="1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</row>
    <row r="676" spans="2:15" ht="1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</row>
    <row r="677" spans="2:15" ht="1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</row>
    <row r="678" spans="2:15" ht="1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</row>
    <row r="679" spans="2:15" ht="1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</row>
    <row r="680" spans="2:15" ht="1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</row>
    <row r="681" spans="2:15" ht="1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</row>
    <row r="682" spans="2:15" ht="1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</row>
    <row r="683" spans="2:15" ht="1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</row>
    <row r="684" spans="2:15" ht="1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</row>
    <row r="685" spans="2:15" ht="1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</row>
    <row r="686" spans="2:15" ht="1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</row>
    <row r="687" spans="2:15" ht="1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</row>
    <row r="688" spans="2:15" ht="1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</row>
    <row r="689" spans="2:15" ht="1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</row>
    <row r="690" spans="2:15" ht="1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</row>
    <row r="691" spans="2:15" ht="1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</row>
    <row r="692" spans="2:15" ht="1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</row>
    <row r="693" spans="2:15" ht="1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</row>
    <row r="694" spans="2:15" ht="1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</row>
    <row r="695" spans="2:15" ht="1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</row>
    <row r="696" spans="2:15" ht="1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</row>
    <row r="697" spans="2:15" ht="1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</row>
    <row r="698" spans="2:15" ht="1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</row>
    <row r="699" spans="2:15" ht="1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</row>
    <row r="700" spans="2:15" ht="1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</row>
    <row r="701" spans="2:15" ht="1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</row>
    <row r="702" spans="2:15" ht="1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</row>
    <row r="703" spans="2:15" ht="1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</row>
    <row r="704" spans="2:15" ht="1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</row>
    <row r="705" spans="2:15" ht="1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</row>
    <row r="706" spans="2:15" ht="1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</row>
    <row r="707" spans="2:15" ht="1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</row>
    <row r="708" spans="2:15" ht="1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</row>
    <row r="709" spans="2:15" ht="1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</row>
    <row r="710" spans="2:15" ht="1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</row>
    <row r="711" spans="2:15" ht="1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</row>
    <row r="712" spans="2:15" ht="1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</row>
    <row r="713" spans="2:15" ht="1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</row>
    <row r="714" spans="2:15" ht="1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</row>
    <row r="715" spans="2:15" ht="1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</row>
    <row r="716" spans="2:15" ht="1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</row>
    <row r="717" spans="2:15" ht="1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</row>
    <row r="718" spans="2:15" ht="1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</row>
    <row r="719" spans="2:15" ht="1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</row>
    <row r="720" spans="2:15" ht="1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</row>
    <row r="721" spans="2:15" ht="1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</row>
    <row r="722" spans="2:15" ht="1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</row>
    <row r="723" spans="2:15" ht="1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</row>
    <row r="724" spans="2:15" ht="1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</row>
    <row r="725" spans="2:15" ht="1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</row>
    <row r="726" spans="2:15" ht="1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</row>
    <row r="727" spans="2:15" ht="1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</row>
    <row r="728" spans="2:15" ht="1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</row>
    <row r="729" spans="2:15" ht="1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</row>
    <row r="730" spans="2:15" ht="1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</row>
    <row r="731" spans="2:15" ht="1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</row>
    <row r="732" spans="2:15" ht="1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</row>
    <row r="733" spans="2:15" ht="1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</row>
    <row r="734" spans="2:15" ht="1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</row>
    <row r="735" spans="2:15" ht="1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</row>
    <row r="736" spans="2:15" ht="1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</row>
    <row r="737" spans="2:15" ht="1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</row>
    <row r="738" spans="2:15" ht="1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</row>
    <row r="739" spans="2:15" ht="1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</row>
    <row r="740" spans="2:15" ht="1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</row>
    <row r="741" spans="2:15" ht="1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</row>
    <row r="742" spans="2:15" ht="1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</row>
    <row r="743" spans="2:15" ht="1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</row>
    <row r="744" spans="2:15" ht="1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</row>
    <row r="745" spans="2:15" ht="1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</row>
    <row r="746" spans="2:15" ht="1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</row>
    <row r="747" spans="2:15" ht="1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</row>
    <row r="748" spans="2:15" ht="1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</row>
    <row r="749" spans="2:15" ht="1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</row>
    <row r="750" spans="2:15" ht="1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</row>
    <row r="751" spans="2:15" ht="1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</row>
    <row r="752" spans="2:15" ht="1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</row>
    <row r="753" spans="2:15" ht="1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</row>
    <row r="754" spans="2:15" ht="1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</row>
    <row r="755" spans="2:15" ht="1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</row>
    <row r="756" spans="2:15" ht="1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</row>
    <row r="757" spans="2:15" ht="1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</row>
    <row r="758" spans="2:15" ht="1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</row>
    <row r="759" spans="2:15" ht="1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</row>
    <row r="760" spans="2:15" ht="1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</row>
    <row r="761" spans="2:15" ht="1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</row>
    <row r="762" spans="2:15" ht="1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</row>
    <row r="763" spans="2:15" ht="1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</row>
    <row r="764" spans="2:15" ht="1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</row>
    <row r="765" spans="2:15" ht="1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</row>
    <row r="766" spans="2:15" ht="1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</row>
    <row r="767" spans="2:15" ht="1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</row>
    <row r="768" spans="2:15" ht="1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</row>
    <row r="769" spans="2:15" ht="1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</row>
    <row r="770" spans="2:15" ht="1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</row>
    <row r="771" spans="2:15" ht="1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</row>
    <row r="772" spans="2:15" ht="1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</row>
    <row r="773" spans="2:15" ht="1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</row>
    <row r="774" spans="2:15" ht="1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</row>
    <row r="775" spans="2:15" ht="1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</row>
    <row r="776" spans="2:15" ht="1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</row>
    <row r="777" spans="2:15" ht="1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</row>
    <row r="778" spans="2:15" ht="1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</row>
    <row r="779" spans="2:15" ht="1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</row>
    <row r="780" spans="2:15" ht="1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</row>
    <row r="781" spans="2:15" ht="1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</row>
    <row r="782" spans="2:15" ht="1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</row>
    <row r="783" spans="2:15" ht="1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</row>
    <row r="784" spans="2:15" ht="1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</row>
    <row r="785" spans="2:15" ht="1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</row>
    <row r="786" spans="2:15" ht="1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</row>
    <row r="787" spans="2:15" ht="1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</row>
    <row r="788" spans="2:15" ht="1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</row>
    <row r="789" spans="2:15" ht="1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</row>
    <row r="790" spans="2:15" ht="1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</row>
    <row r="791" spans="2:15" ht="1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</row>
    <row r="792" spans="2:15" ht="1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</row>
    <row r="793" spans="2:15" ht="1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</row>
    <row r="794" spans="2:15" ht="1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</row>
    <row r="795" spans="2:15" ht="1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</row>
    <row r="796" spans="2:15" ht="1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</row>
    <row r="797" spans="2:15" ht="1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</row>
    <row r="798" spans="2:15" ht="1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</row>
    <row r="799" spans="2:15" ht="1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</row>
    <row r="800" spans="2:15" ht="1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</row>
    <row r="801" spans="2:15" ht="1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</row>
    <row r="802" spans="2:15" ht="1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</row>
    <row r="803" spans="2:15" ht="1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</row>
    <row r="804" spans="2:15" ht="1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</row>
    <row r="805" spans="2:15" ht="1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</row>
    <row r="806" spans="2:15" ht="1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</row>
    <row r="807" spans="2:15" ht="1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</row>
    <row r="808" spans="2:15" ht="1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</row>
    <row r="809" spans="2:15" ht="1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</row>
    <row r="810" spans="2:15" ht="1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</row>
    <row r="811" spans="2:15" ht="1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</row>
    <row r="812" spans="2:15" ht="1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</row>
    <row r="813" spans="2:15" ht="1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</row>
    <row r="814" spans="2:15" ht="1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</row>
    <row r="815" spans="2:15" ht="1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</row>
    <row r="816" spans="2:15" ht="1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</row>
    <row r="817" spans="2:15" ht="1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</row>
    <row r="818" spans="2:15" ht="1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</row>
    <row r="819" spans="2:15" ht="1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</row>
    <row r="820" spans="2:15" ht="1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</row>
    <row r="821" spans="2:15" ht="1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</row>
    <row r="822" spans="2:15" ht="1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</row>
    <row r="823" spans="2:15" ht="1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</row>
  </sheetData>
  <sortState ref="B263:O266">
    <sortCondition descending="1" ref="B263"/>
  </sortState>
  <mergeCells count="12">
    <mergeCell ref="J299:O299"/>
    <mergeCell ref="B298:G298"/>
    <mergeCell ref="J298:O298"/>
    <mergeCell ref="C7:N7"/>
    <mergeCell ref="O6:O8"/>
    <mergeCell ref="B299:H299"/>
    <mergeCell ref="B2:D2"/>
    <mergeCell ref="M2:O2"/>
    <mergeCell ref="E2:L2"/>
    <mergeCell ref="C6:N6"/>
    <mergeCell ref="D3:M3"/>
    <mergeCell ref="D4:M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381"/>
  <sheetViews>
    <sheetView rightToLeft="1" zoomScale="40" zoomScaleNormal="40" workbookViewId="0">
      <selection activeCell="E2" sqref="E2:M2"/>
    </sheetView>
  </sheetViews>
  <sheetFormatPr defaultColWidth="9.140625" defaultRowHeight="15"/>
  <cols>
    <col min="1" max="1" width="10.7109375" customWidth="1"/>
    <col min="2" max="2" width="22.7109375" customWidth="1"/>
    <col min="3" max="16" width="24.7109375" customWidth="1"/>
    <col min="17" max="17" width="13.7109375" customWidth="1"/>
  </cols>
  <sheetData>
    <row r="1" spans="2:17" ht="18" customHeight="1"/>
    <row r="2" spans="2:17" s="82" customFormat="1" ht="40.15" customHeight="1">
      <c r="B2" s="162" t="s">
        <v>135</v>
      </c>
      <c r="C2" s="162"/>
      <c r="D2" s="162"/>
      <c r="E2" s="164" t="s">
        <v>101</v>
      </c>
      <c r="F2" s="164"/>
      <c r="G2" s="164"/>
      <c r="H2" s="164"/>
      <c r="I2" s="164"/>
      <c r="J2" s="164"/>
      <c r="K2" s="164"/>
      <c r="L2" s="164"/>
      <c r="M2" s="164"/>
      <c r="N2" s="163" t="s">
        <v>106</v>
      </c>
      <c r="O2" s="163"/>
      <c r="P2" s="163"/>
    </row>
    <row r="3" spans="2:17" s="82" customFormat="1" ht="40.15" customHeight="1">
      <c r="B3" s="63"/>
      <c r="C3" s="63"/>
      <c r="D3" s="164" t="s">
        <v>131</v>
      </c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87" t="s">
        <v>133</v>
      </c>
      <c r="P3" s="187"/>
    </row>
    <row r="4" spans="2:17" s="82" customFormat="1" ht="40.15" customHeight="1">
      <c r="D4" s="165" t="s">
        <v>134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88" t="s">
        <v>132</v>
      </c>
      <c r="P4" s="188"/>
      <c r="Q4" s="89"/>
    </row>
    <row r="5" spans="2:17" ht="10.15" customHeight="1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88"/>
      <c r="P5" s="88"/>
      <c r="Q5" s="51"/>
    </row>
    <row r="6" spans="2:17" ht="39.950000000000003" customHeight="1">
      <c r="B6" s="185"/>
      <c r="C6" s="182" t="s">
        <v>72</v>
      </c>
      <c r="D6" s="182"/>
      <c r="E6" s="182"/>
      <c r="F6" s="182"/>
      <c r="G6" s="182"/>
      <c r="H6" s="182" t="s">
        <v>71</v>
      </c>
      <c r="I6" s="182"/>
      <c r="J6" s="182"/>
      <c r="K6" s="182"/>
      <c r="L6" s="182"/>
      <c r="M6" s="182"/>
      <c r="N6" s="182"/>
      <c r="O6" s="182"/>
      <c r="P6" s="184"/>
    </row>
    <row r="7" spans="2:17" ht="39.950000000000003" customHeight="1">
      <c r="B7" s="186"/>
      <c r="C7" s="180" t="s">
        <v>70</v>
      </c>
      <c r="D7" s="181"/>
      <c r="E7" s="181"/>
      <c r="F7" s="181"/>
      <c r="G7" s="181"/>
      <c r="H7" s="180" t="s">
        <v>69</v>
      </c>
      <c r="I7" s="181"/>
      <c r="J7" s="181"/>
      <c r="K7" s="181"/>
      <c r="L7" s="181"/>
      <c r="M7" s="181"/>
      <c r="N7" s="181"/>
      <c r="O7" s="181"/>
      <c r="P7" s="183"/>
    </row>
    <row r="8" spans="2:17" ht="120" customHeight="1">
      <c r="B8" s="186"/>
      <c r="C8" s="35"/>
      <c r="D8" s="27" t="s">
        <v>26</v>
      </c>
      <c r="E8" s="27" t="s">
        <v>25</v>
      </c>
      <c r="F8" s="27" t="s">
        <v>24</v>
      </c>
      <c r="G8" s="27" t="s">
        <v>23</v>
      </c>
      <c r="H8" s="92"/>
      <c r="I8" s="27" t="s">
        <v>21</v>
      </c>
      <c r="J8" s="27" t="s">
        <v>20</v>
      </c>
      <c r="K8" s="27" t="s">
        <v>19</v>
      </c>
      <c r="L8" s="27" t="s">
        <v>18</v>
      </c>
      <c r="M8" s="27" t="s">
        <v>17</v>
      </c>
      <c r="N8" s="27" t="s">
        <v>16</v>
      </c>
      <c r="O8" s="27" t="s">
        <v>15</v>
      </c>
      <c r="P8" s="69" t="s">
        <v>14</v>
      </c>
    </row>
    <row r="9" spans="2:17" ht="33" customHeight="1">
      <c r="B9" s="3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32"/>
    </row>
    <row r="10" spans="2:17" ht="95.25" customHeight="1">
      <c r="B10" s="33"/>
      <c r="C10" s="34"/>
      <c r="D10" s="80" t="s">
        <v>12</v>
      </c>
      <c r="E10" s="80" t="s">
        <v>11</v>
      </c>
      <c r="F10" s="80" t="s">
        <v>10</v>
      </c>
      <c r="G10" s="80" t="s">
        <v>9</v>
      </c>
      <c r="H10" s="80"/>
      <c r="I10" s="80" t="s">
        <v>7</v>
      </c>
      <c r="J10" s="80" t="s">
        <v>6</v>
      </c>
      <c r="K10" s="80" t="s">
        <v>68</v>
      </c>
      <c r="L10" s="80" t="s">
        <v>4</v>
      </c>
      <c r="M10" s="80" t="s">
        <v>110</v>
      </c>
      <c r="N10" s="80" t="s">
        <v>3</v>
      </c>
      <c r="O10" s="80" t="s">
        <v>2</v>
      </c>
      <c r="P10" s="81" t="s">
        <v>1</v>
      </c>
    </row>
    <row r="11" spans="2:17" ht="40.5">
      <c r="B11" s="22" t="s">
        <v>79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2:17" s="8" customFormat="1" ht="34.9" hidden="1" customHeight="1">
      <c r="B12" s="5">
        <v>2004</v>
      </c>
      <c r="C12" s="7">
        <v>3510.7</v>
      </c>
      <c r="D12" s="6">
        <v>3407.8</v>
      </c>
      <c r="E12" s="6">
        <v>2680.2</v>
      </c>
      <c r="F12" s="6">
        <v>4834.8999999999996</v>
      </c>
      <c r="G12" s="6">
        <v>6136.8</v>
      </c>
      <c r="H12" s="7">
        <v>1762</v>
      </c>
      <c r="I12" s="6">
        <v>1804.7</v>
      </c>
      <c r="J12" s="6">
        <v>1868</v>
      </c>
      <c r="K12" s="6">
        <v>1385.6</v>
      </c>
      <c r="L12" s="6">
        <v>1113.5999999999999</v>
      </c>
      <c r="M12" s="6">
        <v>1535.9</v>
      </c>
      <c r="N12" s="6">
        <v>2382.3000000000002</v>
      </c>
      <c r="O12" s="6">
        <v>3325.2</v>
      </c>
      <c r="P12" s="6">
        <v>1382.9</v>
      </c>
    </row>
    <row r="13" spans="2:17" s="8" customFormat="1" ht="34.9" hidden="1" customHeight="1">
      <c r="B13" s="9">
        <v>2005</v>
      </c>
      <c r="C13" s="11">
        <v>6733.6</v>
      </c>
      <c r="D13" s="10">
        <v>6171.3</v>
      </c>
      <c r="E13" s="10">
        <v>5738.7</v>
      </c>
      <c r="F13" s="10">
        <v>16381.5</v>
      </c>
      <c r="G13" s="10">
        <v>9093.2000000000007</v>
      </c>
      <c r="H13" s="11">
        <v>2259.4</v>
      </c>
      <c r="I13" s="10">
        <v>1708.4</v>
      </c>
      <c r="J13" s="10">
        <v>3114.7</v>
      </c>
      <c r="K13" s="10">
        <v>1972.6</v>
      </c>
      <c r="L13" s="10">
        <v>2075.4</v>
      </c>
      <c r="M13" s="10">
        <v>2320.6999999999998</v>
      </c>
      <c r="N13" s="10">
        <v>2921.4</v>
      </c>
      <c r="O13" s="10">
        <v>3671.4</v>
      </c>
      <c r="P13" s="10">
        <v>1736.4</v>
      </c>
    </row>
    <row r="14" spans="2:17" s="8" customFormat="1" ht="34.9" hidden="1" customHeight="1">
      <c r="B14" s="5">
        <v>2006</v>
      </c>
      <c r="C14" s="7">
        <v>4486.3</v>
      </c>
      <c r="D14" s="6">
        <v>4237.7</v>
      </c>
      <c r="E14" s="6">
        <v>3715.5</v>
      </c>
      <c r="F14" s="6">
        <v>8248.7999999999993</v>
      </c>
      <c r="G14" s="6">
        <v>7798.9</v>
      </c>
      <c r="H14" s="7">
        <v>1833.1</v>
      </c>
      <c r="I14" s="6">
        <v>1317.4</v>
      </c>
      <c r="J14" s="6">
        <v>2611.9</v>
      </c>
      <c r="K14" s="6">
        <v>1915.8</v>
      </c>
      <c r="L14" s="6">
        <v>1126.3</v>
      </c>
      <c r="M14" s="6">
        <v>1738.4</v>
      </c>
      <c r="N14" s="6">
        <v>2134.5</v>
      </c>
      <c r="O14" s="6">
        <v>2955.7</v>
      </c>
      <c r="P14" s="6">
        <v>1721.8</v>
      </c>
    </row>
    <row r="15" spans="2:17" s="8" customFormat="1" ht="34.9" hidden="1" customHeight="1">
      <c r="B15" s="9">
        <v>2007</v>
      </c>
      <c r="C15" s="11">
        <v>5131</v>
      </c>
      <c r="D15" s="10">
        <v>5122.2</v>
      </c>
      <c r="E15" s="10">
        <v>3690.1</v>
      </c>
      <c r="F15" s="10">
        <v>9149</v>
      </c>
      <c r="G15" s="10">
        <v>7823.7</v>
      </c>
      <c r="H15" s="11">
        <v>2460.3000000000002</v>
      </c>
      <c r="I15" s="10">
        <v>961.8</v>
      </c>
      <c r="J15" s="10">
        <v>3280.4</v>
      </c>
      <c r="K15" s="10">
        <v>2181.9</v>
      </c>
      <c r="L15" s="10">
        <v>1363.1</v>
      </c>
      <c r="M15" s="10">
        <v>2392.6999999999998</v>
      </c>
      <c r="N15" s="10">
        <v>3858.9</v>
      </c>
      <c r="O15" s="10">
        <v>4699.7</v>
      </c>
      <c r="P15" s="10">
        <v>1889.5</v>
      </c>
    </row>
    <row r="16" spans="2:17" s="8" customFormat="1" ht="34.9" hidden="1" customHeight="1">
      <c r="B16" s="5">
        <v>2008</v>
      </c>
      <c r="C16" s="7">
        <v>3609.1</v>
      </c>
      <c r="D16" s="6">
        <v>4196.3</v>
      </c>
      <c r="E16" s="6">
        <v>3231.1</v>
      </c>
      <c r="F16" s="6">
        <v>4796.2</v>
      </c>
      <c r="G16" s="6">
        <v>3879</v>
      </c>
      <c r="H16" s="7">
        <v>2025.6</v>
      </c>
      <c r="I16" s="6">
        <v>881.7</v>
      </c>
      <c r="J16" s="6">
        <v>3275.9</v>
      </c>
      <c r="K16" s="6">
        <v>1997.5</v>
      </c>
      <c r="L16" s="6">
        <v>850</v>
      </c>
      <c r="M16" s="6">
        <v>1726</v>
      </c>
      <c r="N16" s="6">
        <v>3031.6</v>
      </c>
      <c r="O16" s="6">
        <v>3863.5</v>
      </c>
      <c r="P16" s="6">
        <v>1490.4</v>
      </c>
    </row>
    <row r="17" spans="2:16" s="8" customFormat="1" ht="34.9" hidden="1" customHeight="1">
      <c r="B17" s="9">
        <v>2009</v>
      </c>
      <c r="C17" s="11">
        <v>3026.8</v>
      </c>
      <c r="D17" s="10">
        <v>3646.8</v>
      </c>
      <c r="E17" s="10">
        <v>2838</v>
      </c>
      <c r="F17" s="10">
        <v>3618.3</v>
      </c>
      <c r="G17" s="10">
        <v>3131</v>
      </c>
      <c r="H17" s="11">
        <v>2107.9</v>
      </c>
      <c r="I17" s="10">
        <v>821.1</v>
      </c>
      <c r="J17" s="10">
        <v>2643</v>
      </c>
      <c r="K17" s="10">
        <v>1784.1</v>
      </c>
      <c r="L17" s="10">
        <v>914</v>
      </c>
      <c r="M17" s="10">
        <v>1792</v>
      </c>
      <c r="N17" s="10">
        <v>2806.7</v>
      </c>
      <c r="O17" s="10">
        <v>4795.5</v>
      </c>
      <c r="P17" s="10">
        <v>1557.9</v>
      </c>
    </row>
    <row r="18" spans="2:16" s="8" customFormat="1" ht="34.9" hidden="1" customHeight="1">
      <c r="B18" s="5">
        <v>2010</v>
      </c>
      <c r="C18" s="7">
        <v>2911.7</v>
      </c>
      <c r="D18" s="6">
        <v>3926.5</v>
      </c>
      <c r="E18" s="6">
        <v>2330.1</v>
      </c>
      <c r="F18" s="6">
        <v>2803.7</v>
      </c>
      <c r="G18" s="6">
        <v>2339.6</v>
      </c>
      <c r="H18" s="7">
        <v>1897.2</v>
      </c>
      <c r="I18" s="6">
        <v>949.2</v>
      </c>
      <c r="J18" s="6">
        <v>2636.3</v>
      </c>
      <c r="K18" s="6">
        <v>1602</v>
      </c>
      <c r="L18" s="6">
        <v>743</v>
      </c>
      <c r="M18" s="6">
        <v>1780.2</v>
      </c>
      <c r="N18" s="6">
        <v>2485.5</v>
      </c>
      <c r="O18" s="6">
        <v>4414.8</v>
      </c>
      <c r="P18" s="6">
        <v>1005.7</v>
      </c>
    </row>
    <row r="19" spans="2:16" s="8" customFormat="1" ht="34.9" hidden="1" customHeight="1">
      <c r="B19" s="9">
        <v>2011</v>
      </c>
      <c r="C19" s="11">
        <v>2443.9</v>
      </c>
      <c r="D19" s="10">
        <v>3475.3</v>
      </c>
      <c r="E19" s="10">
        <v>2089.8000000000002</v>
      </c>
      <c r="F19" s="10">
        <v>1580.7</v>
      </c>
      <c r="G19" s="10">
        <v>1939.5</v>
      </c>
      <c r="H19" s="11">
        <v>1693.7</v>
      </c>
      <c r="I19" s="10">
        <v>873.8</v>
      </c>
      <c r="J19" s="10">
        <v>2619.1</v>
      </c>
      <c r="K19" s="10">
        <v>1409.4</v>
      </c>
      <c r="L19" s="10">
        <v>445.2</v>
      </c>
      <c r="M19" s="10">
        <v>1829.8</v>
      </c>
      <c r="N19" s="10">
        <v>1556.2</v>
      </c>
      <c r="O19" s="10">
        <v>4075.1</v>
      </c>
      <c r="P19" s="10">
        <v>944.9</v>
      </c>
    </row>
    <row r="20" spans="2:16" s="8" customFormat="1" ht="34.9" hidden="1" customHeight="1">
      <c r="B20" s="5">
        <v>2012</v>
      </c>
      <c r="C20" s="7">
        <v>2363.6</v>
      </c>
      <c r="D20" s="6">
        <v>3407.64</v>
      </c>
      <c r="E20" s="6">
        <v>1887.2</v>
      </c>
      <c r="F20" s="6">
        <v>1653</v>
      </c>
      <c r="G20" s="6">
        <v>1658.8</v>
      </c>
      <c r="H20" s="7">
        <v>1651.1</v>
      </c>
      <c r="I20" s="6">
        <v>900</v>
      </c>
      <c r="J20" s="6">
        <v>2952.3</v>
      </c>
      <c r="K20" s="6">
        <v>1294.3</v>
      </c>
      <c r="L20" s="6">
        <v>467</v>
      </c>
      <c r="M20" s="6">
        <v>1753.7</v>
      </c>
      <c r="N20" s="6">
        <v>856.8</v>
      </c>
      <c r="O20" s="6">
        <v>4017.9</v>
      </c>
      <c r="P20" s="6">
        <v>770</v>
      </c>
    </row>
    <row r="21" spans="2:16" s="8" customFormat="1" ht="34.9" hidden="1" customHeight="1">
      <c r="B21" s="9">
        <v>2013</v>
      </c>
      <c r="C21" s="11">
        <v>2703.9</v>
      </c>
      <c r="D21" s="10">
        <v>3888.8</v>
      </c>
      <c r="E21" s="10">
        <v>1793.2</v>
      </c>
      <c r="F21" s="10">
        <v>1944.2</v>
      </c>
      <c r="G21" s="10">
        <v>2026.2</v>
      </c>
      <c r="H21" s="11">
        <v>1664.8</v>
      </c>
      <c r="I21" s="10">
        <v>962.7</v>
      </c>
      <c r="J21" s="10">
        <v>3586.5</v>
      </c>
      <c r="K21" s="10">
        <v>1218.5</v>
      </c>
      <c r="L21" s="10">
        <v>451.9</v>
      </c>
      <c r="M21" s="10">
        <v>1356.7</v>
      </c>
      <c r="N21" s="10">
        <v>607.70000000000005</v>
      </c>
      <c r="O21" s="10">
        <v>4140.7</v>
      </c>
      <c r="P21" s="10">
        <v>909.8</v>
      </c>
    </row>
    <row r="22" spans="2:16" s="8" customFormat="1" ht="34.9" hidden="1" customHeight="1">
      <c r="B22" s="5">
        <v>2014</v>
      </c>
      <c r="C22" s="7">
        <v>2920.9</v>
      </c>
      <c r="D22" s="6">
        <v>4286.5</v>
      </c>
      <c r="E22" s="6">
        <v>1976.3</v>
      </c>
      <c r="F22" s="6">
        <v>1835.9</v>
      </c>
      <c r="G22" s="6">
        <v>2072.3000000000002</v>
      </c>
      <c r="H22" s="7">
        <v>1794.8</v>
      </c>
      <c r="I22" s="6">
        <v>975.5</v>
      </c>
      <c r="J22" s="6">
        <v>4052.7</v>
      </c>
      <c r="K22" s="6">
        <v>1257.5999999999999</v>
      </c>
      <c r="L22" s="6">
        <v>487.2</v>
      </c>
      <c r="M22" s="6">
        <v>1161.4000000000001</v>
      </c>
      <c r="N22" s="6">
        <v>419.5</v>
      </c>
      <c r="O22" s="6">
        <v>4677.5</v>
      </c>
      <c r="P22" s="6">
        <v>1080.5999999999999</v>
      </c>
    </row>
    <row r="23" spans="2:16" s="8" customFormat="1" ht="34.9" hidden="1" customHeight="1">
      <c r="B23" s="9">
        <v>2015</v>
      </c>
      <c r="C23" s="11">
        <v>2906.17</v>
      </c>
      <c r="D23" s="10">
        <v>4249.67</v>
      </c>
      <c r="E23" s="10">
        <v>2064.58</v>
      </c>
      <c r="F23" s="10">
        <v>1695.49</v>
      </c>
      <c r="G23" s="10">
        <v>2194.4299999999998</v>
      </c>
      <c r="H23" s="11">
        <v>1726.73</v>
      </c>
      <c r="I23" s="10">
        <v>966.63</v>
      </c>
      <c r="J23" s="10">
        <v>4012.3</v>
      </c>
      <c r="K23" s="10">
        <v>1040.51</v>
      </c>
      <c r="L23" s="10">
        <v>404.04</v>
      </c>
      <c r="M23" s="10">
        <v>1161.43</v>
      </c>
      <c r="N23" s="10">
        <v>189.7</v>
      </c>
      <c r="O23" s="10">
        <v>4803.09</v>
      </c>
      <c r="P23" s="10">
        <v>1026.97</v>
      </c>
    </row>
    <row r="24" spans="2:16" s="8" customFormat="1" ht="34.9" hidden="1" customHeight="1">
      <c r="B24" s="5">
        <v>2016</v>
      </c>
      <c r="C24" s="7">
        <v>2933.21</v>
      </c>
      <c r="D24" s="6">
        <v>4376</v>
      </c>
      <c r="E24" s="6">
        <v>2073.37</v>
      </c>
      <c r="F24" s="6">
        <v>1573.32</v>
      </c>
      <c r="G24" s="6">
        <v>1948.65</v>
      </c>
      <c r="H24" s="7">
        <v>1604.67</v>
      </c>
      <c r="I24" s="6">
        <v>814.14</v>
      </c>
      <c r="J24" s="6">
        <v>3512.97</v>
      </c>
      <c r="K24" s="6">
        <v>992.73</v>
      </c>
      <c r="L24" s="6">
        <v>344.25</v>
      </c>
      <c r="M24" s="6">
        <v>659.1</v>
      </c>
      <c r="N24" s="6">
        <v>170.07</v>
      </c>
      <c r="O24" s="6">
        <v>4940.8500000000004</v>
      </c>
      <c r="P24" s="6">
        <v>1097.0899999999999</v>
      </c>
    </row>
    <row r="25" spans="2:16" s="8" customFormat="1" ht="34.9" hidden="1" customHeight="1">
      <c r="B25" s="9">
        <v>2017</v>
      </c>
      <c r="C25" s="11">
        <v>2881.48</v>
      </c>
      <c r="D25" s="10">
        <v>4367.97</v>
      </c>
      <c r="E25" s="10">
        <v>1953.09</v>
      </c>
      <c r="F25" s="10">
        <v>1470.49</v>
      </c>
      <c r="G25" s="10">
        <v>1676.78</v>
      </c>
      <c r="H25" s="11">
        <v>1449.68</v>
      </c>
      <c r="I25" s="10">
        <v>875.97</v>
      </c>
      <c r="J25" s="10">
        <v>3234.37</v>
      </c>
      <c r="K25" s="10">
        <v>984.99</v>
      </c>
      <c r="L25" s="10">
        <v>356.47</v>
      </c>
      <c r="M25" s="10">
        <v>621.22</v>
      </c>
      <c r="N25" s="10">
        <v>98.12</v>
      </c>
      <c r="O25" s="10">
        <v>3826.49</v>
      </c>
      <c r="P25" s="10">
        <v>1367.14</v>
      </c>
    </row>
    <row r="26" spans="2:16" s="8" customFormat="1" ht="34.9" hidden="1" customHeight="1">
      <c r="B26" s="5">
        <v>2018</v>
      </c>
      <c r="C26" s="7">
        <v>2652.69</v>
      </c>
      <c r="D26" s="6">
        <v>4047.83</v>
      </c>
      <c r="E26" s="6">
        <v>2158.84</v>
      </c>
      <c r="F26" s="6">
        <v>1273.3</v>
      </c>
      <c r="G26" s="6">
        <v>1318.13</v>
      </c>
      <c r="H26" s="7">
        <v>1279.8</v>
      </c>
      <c r="I26" s="6">
        <v>858.77</v>
      </c>
      <c r="J26" s="6">
        <v>2851.68</v>
      </c>
      <c r="K26" s="6">
        <v>1110.3399999999999</v>
      </c>
      <c r="L26" s="6">
        <v>292.02999999999997</v>
      </c>
      <c r="M26" s="6">
        <v>426.35</v>
      </c>
      <c r="N26" s="6">
        <v>61.05</v>
      </c>
      <c r="O26" s="6">
        <v>3131.94</v>
      </c>
      <c r="P26" s="6">
        <v>1320.78</v>
      </c>
    </row>
    <row r="27" spans="2:16" s="8" customFormat="1" ht="34.9" hidden="1" customHeight="1">
      <c r="B27" s="9">
        <v>2019</v>
      </c>
      <c r="C27" s="11">
        <v>2449.96</v>
      </c>
      <c r="D27" s="10">
        <v>3648.25</v>
      </c>
      <c r="E27" s="10">
        <v>1997.35</v>
      </c>
      <c r="F27" s="10">
        <v>1342.8</v>
      </c>
      <c r="G27" s="10">
        <v>1464.22</v>
      </c>
      <c r="H27" s="11">
        <v>1293.04</v>
      </c>
      <c r="I27" s="10">
        <v>912.62</v>
      </c>
      <c r="J27" s="10">
        <v>2165.39</v>
      </c>
      <c r="K27" s="10">
        <v>981.06</v>
      </c>
      <c r="L27" s="10">
        <v>286.32</v>
      </c>
      <c r="M27" s="10">
        <v>433.21</v>
      </c>
      <c r="N27" s="10">
        <v>52.33</v>
      </c>
      <c r="O27" s="10">
        <v>3995.16</v>
      </c>
      <c r="P27" s="10">
        <v>1116.51</v>
      </c>
    </row>
    <row r="28" spans="2:16" s="8" customFormat="1" ht="34.9" hidden="1" customHeight="1">
      <c r="B28" s="5" t="s">
        <v>143</v>
      </c>
      <c r="C28" s="7">
        <v>2171.6535004980828</v>
      </c>
      <c r="D28" s="6">
        <v>3153.6908427623166</v>
      </c>
      <c r="E28" s="6">
        <v>1988.9734085661316</v>
      </c>
      <c r="F28" s="6">
        <v>1338.7846561828621</v>
      </c>
      <c r="G28" s="6">
        <v>1491.3996030446356</v>
      </c>
      <c r="H28" s="7">
        <v>1148.0149821898995</v>
      </c>
      <c r="I28" s="6">
        <v>787.1480725880723</v>
      </c>
      <c r="J28" s="6">
        <v>2282.6059493654325</v>
      </c>
      <c r="K28" s="6">
        <v>812.42331864282937</v>
      </c>
      <c r="L28" s="6">
        <v>256.58129861047996</v>
      </c>
      <c r="M28" s="6">
        <v>465.54320569980104</v>
      </c>
      <c r="N28" s="6">
        <v>50.14975068305813</v>
      </c>
      <c r="O28" s="6">
        <v>3303.4779844390641</v>
      </c>
      <c r="P28" s="6">
        <v>1035.8546220268529</v>
      </c>
    </row>
    <row r="29" spans="2:16" s="8" customFormat="1" ht="34.9" customHeight="1">
      <c r="B29" s="9">
        <v>2021</v>
      </c>
      <c r="C29" s="11">
        <v>2604.4636666529068</v>
      </c>
      <c r="D29" s="10">
        <v>3894.838925484029</v>
      </c>
      <c r="E29" s="10">
        <v>1929.0361362649301</v>
      </c>
      <c r="F29" s="10">
        <v>1363.2141083930796</v>
      </c>
      <c r="G29" s="10">
        <v>1679.8039577177021</v>
      </c>
      <c r="H29" s="11">
        <v>1327.4205470300733</v>
      </c>
      <c r="I29" s="10">
        <v>750.50684827660587</v>
      </c>
      <c r="J29" s="10">
        <v>2549.0986593786456</v>
      </c>
      <c r="K29" s="10">
        <v>797.21254521126116</v>
      </c>
      <c r="L29" s="10">
        <v>294.69071459831787</v>
      </c>
      <c r="M29" s="10">
        <v>603.79093584057568</v>
      </c>
      <c r="N29" s="10">
        <v>50.14975068305813</v>
      </c>
      <c r="O29" s="10">
        <v>4199.6043136972467</v>
      </c>
      <c r="P29" s="10">
        <v>953.5320025721536</v>
      </c>
    </row>
    <row r="30" spans="2:16" s="8" customFormat="1" ht="34.9" customHeight="1">
      <c r="B30" s="5">
        <v>2022</v>
      </c>
      <c r="C30" s="7">
        <v>2692.23</v>
      </c>
      <c r="D30" s="6">
        <v>4130.91</v>
      </c>
      <c r="E30" s="6">
        <v>1843.58</v>
      </c>
      <c r="F30" s="6">
        <v>1179.1199999999999</v>
      </c>
      <c r="G30" s="6">
        <v>1488.11</v>
      </c>
      <c r="H30" s="7">
        <v>1740.81</v>
      </c>
      <c r="I30" s="6">
        <v>1124.78</v>
      </c>
      <c r="J30" s="6">
        <v>2579.88</v>
      </c>
      <c r="K30" s="6">
        <v>793.96</v>
      </c>
      <c r="L30" s="6">
        <v>271.93</v>
      </c>
      <c r="M30" s="6">
        <v>626.22</v>
      </c>
      <c r="N30" s="6">
        <v>50.15</v>
      </c>
      <c r="O30" s="6">
        <v>6873.63</v>
      </c>
      <c r="P30" s="6">
        <v>808.41</v>
      </c>
    </row>
    <row r="31" spans="2:16" s="8" customFormat="1" ht="34.9" customHeight="1">
      <c r="B31" s="9">
        <v>2023</v>
      </c>
      <c r="C31" s="11">
        <v>2728.97</v>
      </c>
      <c r="D31" s="10">
        <v>4152.92</v>
      </c>
      <c r="E31" s="10">
        <v>1820.31</v>
      </c>
      <c r="F31" s="10">
        <v>1265.23</v>
      </c>
      <c r="G31" s="10">
        <v>1666.93</v>
      </c>
      <c r="H31" s="11">
        <v>1644.03</v>
      </c>
      <c r="I31" s="10">
        <v>1161.1400000000001</v>
      </c>
      <c r="J31" s="10">
        <v>2387.17</v>
      </c>
      <c r="K31" s="10">
        <v>797.13</v>
      </c>
      <c r="L31" s="10">
        <v>298.2</v>
      </c>
      <c r="M31" s="10">
        <v>682.58</v>
      </c>
      <c r="N31" s="10">
        <v>50.15</v>
      </c>
      <c r="O31" s="10">
        <v>6226.58</v>
      </c>
      <c r="P31" s="10">
        <v>757.34</v>
      </c>
    </row>
    <row r="32" spans="2:16" s="8" customFormat="1" ht="34.9" customHeight="1">
      <c r="B32" s="5">
        <v>2024</v>
      </c>
      <c r="C32" s="7">
        <v>2650.97</v>
      </c>
      <c r="D32" s="6">
        <v>4033.33</v>
      </c>
      <c r="E32" s="6">
        <v>1990.1</v>
      </c>
      <c r="F32" s="6">
        <v>1147.8399999999999</v>
      </c>
      <c r="G32" s="6">
        <v>1608.44</v>
      </c>
      <c r="H32" s="7">
        <v>1693.32</v>
      </c>
      <c r="I32" s="6">
        <v>1038.72</v>
      </c>
      <c r="J32" s="6">
        <v>2407.64</v>
      </c>
      <c r="K32" s="6">
        <v>718.79</v>
      </c>
      <c r="L32" s="6">
        <v>259.76</v>
      </c>
      <c r="M32" s="6">
        <v>755.32</v>
      </c>
      <c r="N32" s="6">
        <v>50.15</v>
      </c>
      <c r="O32" s="6">
        <v>6681.77</v>
      </c>
      <c r="P32" s="6">
        <v>680.15</v>
      </c>
    </row>
    <row r="33" spans="2:16" s="8" customFormat="1" ht="34.9" customHeight="1">
      <c r="B33" s="9">
        <v>2025</v>
      </c>
      <c r="C33" s="11">
        <v>3775.55</v>
      </c>
      <c r="D33" s="10">
        <v>5877.2</v>
      </c>
      <c r="E33" s="10">
        <v>2341.0100000000002</v>
      </c>
      <c r="F33" s="10">
        <v>1186.95</v>
      </c>
      <c r="G33" s="10">
        <v>2174.11</v>
      </c>
      <c r="H33" s="11">
        <v>2172.31</v>
      </c>
      <c r="I33" s="10">
        <v>1069.6300000000001</v>
      </c>
      <c r="J33" s="10">
        <v>2991.15</v>
      </c>
      <c r="K33" s="10">
        <v>776.76</v>
      </c>
      <c r="L33" s="10">
        <v>394.31</v>
      </c>
      <c r="M33" s="10">
        <v>823.58</v>
      </c>
      <c r="N33" s="10">
        <v>50.15</v>
      </c>
      <c r="O33" s="10">
        <v>9155.3700000000008</v>
      </c>
      <c r="P33" s="10">
        <v>686.83</v>
      </c>
    </row>
    <row r="34" spans="2:16" s="8" customFormat="1" ht="34.9" hidden="1" customHeight="1">
      <c r="B34" s="3">
        <v>2006</v>
      </c>
      <c r="C34" s="13"/>
      <c r="D34" s="12"/>
      <c r="E34" s="12"/>
      <c r="F34" s="12"/>
      <c r="G34" s="12"/>
      <c r="H34" s="13"/>
      <c r="I34" s="12"/>
      <c r="J34" s="12"/>
      <c r="K34" s="12"/>
      <c r="L34" s="12"/>
      <c r="M34" s="12"/>
      <c r="N34" s="12"/>
      <c r="O34" s="12"/>
      <c r="P34" s="12"/>
    </row>
    <row r="35" spans="2:16" s="8" customFormat="1" ht="34.9" hidden="1" customHeight="1">
      <c r="B35" s="14">
        <v>38899</v>
      </c>
      <c r="C35" s="7">
        <v>4838.8999999999996</v>
      </c>
      <c r="D35" s="6">
        <v>4442.8</v>
      </c>
      <c r="E35" s="6">
        <v>4228.8999999999996</v>
      </c>
      <c r="F35" s="6">
        <v>9801.7000000000007</v>
      </c>
      <c r="G35" s="6">
        <v>8126.2</v>
      </c>
      <c r="H35" s="7">
        <v>1940.5</v>
      </c>
      <c r="I35" s="6">
        <v>1314.5</v>
      </c>
      <c r="J35" s="6">
        <v>2568.6</v>
      </c>
      <c r="K35" s="6">
        <v>2143.1</v>
      </c>
      <c r="L35" s="6">
        <v>1397.3</v>
      </c>
      <c r="M35" s="6" t="s">
        <v>92</v>
      </c>
      <c r="N35" s="6">
        <v>2217.3000000000002</v>
      </c>
      <c r="O35" s="6">
        <v>3145.6</v>
      </c>
      <c r="P35" s="6">
        <v>1589.4</v>
      </c>
    </row>
    <row r="36" spans="2:16" s="8" customFormat="1" ht="34.9" hidden="1" customHeight="1">
      <c r="B36" s="15">
        <v>38930</v>
      </c>
      <c r="C36" s="11">
        <v>5135.5</v>
      </c>
      <c r="D36" s="10">
        <v>4548</v>
      </c>
      <c r="E36" s="10">
        <v>4122.8</v>
      </c>
      <c r="F36" s="10">
        <v>11067</v>
      </c>
      <c r="G36" s="10">
        <v>9595.1</v>
      </c>
      <c r="H36" s="11">
        <v>1960.2</v>
      </c>
      <c r="I36" s="10">
        <v>1363.1</v>
      </c>
      <c r="J36" s="10">
        <v>2420</v>
      </c>
      <c r="K36" s="10">
        <v>2158.8000000000002</v>
      </c>
      <c r="L36" s="10">
        <v>1420.6</v>
      </c>
      <c r="M36" s="10" t="s">
        <v>92</v>
      </c>
      <c r="N36" s="10">
        <v>2347.1999999999998</v>
      </c>
      <c r="O36" s="10">
        <v>3238</v>
      </c>
      <c r="P36" s="10">
        <v>1739.1</v>
      </c>
    </row>
    <row r="37" spans="2:16" s="8" customFormat="1" ht="34.9" hidden="1" customHeight="1">
      <c r="B37" s="14">
        <v>38961</v>
      </c>
      <c r="C37" s="7">
        <v>4982</v>
      </c>
      <c r="D37" s="6">
        <v>4523.6000000000004</v>
      </c>
      <c r="E37" s="6">
        <v>4048.1</v>
      </c>
      <c r="F37" s="6">
        <v>9840.7000000000007</v>
      </c>
      <c r="G37" s="6">
        <v>9445.5</v>
      </c>
      <c r="H37" s="7">
        <v>1931.6</v>
      </c>
      <c r="I37" s="6">
        <v>1372.7</v>
      </c>
      <c r="J37" s="6">
        <v>2526.4</v>
      </c>
      <c r="K37" s="6">
        <v>2103.5</v>
      </c>
      <c r="L37" s="6">
        <v>1414.9</v>
      </c>
      <c r="M37" s="6" t="s">
        <v>92</v>
      </c>
      <c r="N37" s="6">
        <v>2262.6</v>
      </c>
      <c r="O37" s="6">
        <v>3085.7</v>
      </c>
      <c r="P37" s="6">
        <v>1816.7</v>
      </c>
    </row>
    <row r="38" spans="2:16" s="8" customFormat="1" ht="34.9" hidden="1" customHeight="1">
      <c r="B38" s="15">
        <v>38991</v>
      </c>
      <c r="C38" s="11">
        <v>5073</v>
      </c>
      <c r="D38" s="10">
        <v>4575.3999999999996</v>
      </c>
      <c r="E38" s="10">
        <v>4121.5</v>
      </c>
      <c r="F38" s="10">
        <v>10222.9</v>
      </c>
      <c r="G38" s="10">
        <v>9627</v>
      </c>
      <c r="H38" s="11">
        <v>1901.8</v>
      </c>
      <c r="I38" s="10">
        <v>1373.1</v>
      </c>
      <c r="J38" s="10">
        <v>2516.8000000000002</v>
      </c>
      <c r="K38" s="10">
        <v>2028.6</v>
      </c>
      <c r="L38" s="10">
        <v>1259.5999999999999</v>
      </c>
      <c r="M38" s="10">
        <v>1860.8</v>
      </c>
      <c r="N38" s="10">
        <v>2249.9</v>
      </c>
      <c r="O38" s="10">
        <v>3083.4</v>
      </c>
      <c r="P38" s="10">
        <v>1738</v>
      </c>
    </row>
    <row r="39" spans="2:16" s="8" customFormat="1" ht="34.9" hidden="1" customHeight="1">
      <c r="B39" s="14">
        <v>39022</v>
      </c>
      <c r="C39" s="7">
        <v>4591.5</v>
      </c>
      <c r="D39" s="6">
        <v>4138</v>
      </c>
      <c r="E39" s="6">
        <v>3843.8</v>
      </c>
      <c r="F39" s="6">
        <v>9187.7999999999993</v>
      </c>
      <c r="G39" s="6">
        <v>8716.2000000000007</v>
      </c>
      <c r="H39" s="7">
        <v>1828.7</v>
      </c>
      <c r="I39" s="6">
        <v>1367.3</v>
      </c>
      <c r="J39" s="6">
        <v>2627.6</v>
      </c>
      <c r="K39" s="6">
        <v>1920.5</v>
      </c>
      <c r="L39" s="6">
        <v>1128.3</v>
      </c>
      <c r="M39" s="6">
        <v>1725.7</v>
      </c>
      <c r="N39" s="6">
        <v>2160.8000000000002</v>
      </c>
      <c r="O39" s="6">
        <v>2918.4</v>
      </c>
      <c r="P39" s="6">
        <v>1695.9</v>
      </c>
    </row>
    <row r="40" spans="2:16" s="8" customFormat="1" ht="34.9" hidden="1" customHeight="1">
      <c r="B40" s="15">
        <v>39052</v>
      </c>
      <c r="C40" s="11">
        <v>4486.3</v>
      </c>
      <c r="D40" s="10">
        <v>4237.7</v>
      </c>
      <c r="E40" s="10">
        <v>3715.5</v>
      </c>
      <c r="F40" s="10">
        <v>8248.7999999999993</v>
      </c>
      <c r="G40" s="10">
        <v>7798.9</v>
      </c>
      <c r="H40" s="11">
        <v>1833.1</v>
      </c>
      <c r="I40" s="10">
        <v>1317.4</v>
      </c>
      <c r="J40" s="10">
        <v>2611.9</v>
      </c>
      <c r="K40" s="10">
        <v>1915.8</v>
      </c>
      <c r="L40" s="10">
        <v>1126.3</v>
      </c>
      <c r="M40" s="10">
        <v>1738.4</v>
      </c>
      <c r="N40" s="10">
        <v>2134.5</v>
      </c>
      <c r="O40" s="10">
        <v>2955.7</v>
      </c>
      <c r="P40" s="10">
        <v>1721.8</v>
      </c>
    </row>
    <row r="41" spans="2:16" s="8" customFormat="1" ht="34.9" hidden="1" customHeight="1">
      <c r="B41" s="3">
        <v>2007</v>
      </c>
      <c r="C41" s="13"/>
      <c r="D41" s="12"/>
      <c r="E41" s="12"/>
      <c r="F41" s="12"/>
      <c r="G41" s="12"/>
      <c r="H41" s="13"/>
      <c r="I41" s="12"/>
      <c r="J41" s="12"/>
      <c r="K41" s="12"/>
      <c r="L41" s="12"/>
      <c r="M41" s="12"/>
      <c r="N41" s="12"/>
      <c r="O41" s="12"/>
      <c r="P41" s="12"/>
    </row>
    <row r="42" spans="2:16" s="8" customFormat="1" ht="34.9" hidden="1" customHeight="1">
      <c r="B42" s="14">
        <v>39083</v>
      </c>
      <c r="C42" s="7">
        <v>4846</v>
      </c>
      <c r="D42" s="6">
        <v>4663.3</v>
      </c>
      <c r="E42" s="6">
        <v>3877.8</v>
      </c>
      <c r="F42" s="6">
        <v>8496.5</v>
      </c>
      <c r="G42" s="6">
        <v>8382.4</v>
      </c>
      <c r="H42" s="7">
        <v>1987.3</v>
      </c>
      <c r="I42" s="6">
        <v>1294</v>
      </c>
      <c r="J42" s="6">
        <v>2754.6</v>
      </c>
      <c r="K42" s="6">
        <v>2042.2</v>
      </c>
      <c r="L42" s="6">
        <v>1231.8</v>
      </c>
      <c r="M42" s="6">
        <v>1940.9</v>
      </c>
      <c r="N42" s="6">
        <v>2550.4</v>
      </c>
      <c r="O42" s="6">
        <v>3288</v>
      </c>
      <c r="P42" s="6">
        <v>1695.5</v>
      </c>
    </row>
    <row r="43" spans="2:16" s="8" customFormat="1" ht="34.9" hidden="1" customHeight="1">
      <c r="B43" s="15">
        <v>39114</v>
      </c>
      <c r="C43" s="11">
        <v>5036.1000000000004</v>
      </c>
      <c r="D43" s="10">
        <v>4812.3</v>
      </c>
      <c r="E43" s="10">
        <v>3912.8</v>
      </c>
      <c r="F43" s="10">
        <v>9085.7999999999993</v>
      </c>
      <c r="G43" s="10">
        <v>8782.2000000000007</v>
      </c>
      <c r="H43" s="11">
        <v>2137.4</v>
      </c>
      <c r="I43" s="10">
        <v>1522.1</v>
      </c>
      <c r="J43" s="10">
        <v>3080.6</v>
      </c>
      <c r="K43" s="10">
        <v>2200.4</v>
      </c>
      <c r="L43" s="10">
        <v>1326.3</v>
      </c>
      <c r="M43" s="10">
        <v>2067.5</v>
      </c>
      <c r="N43" s="10">
        <v>2555.8000000000002</v>
      </c>
      <c r="O43" s="10">
        <v>3491.1</v>
      </c>
      <c r="P43" s="10">
        <v>1705.5</v>
      </c>
    </row>
    <row r="44" spans="2:16" s="8" customFormat="1" ht="34.9" hidden="1" customHeight="1">
      <c r="B44" s="14">
        <v>39142</v>
      </c>
      <c r="C44" s="7">
        <v>4819.6000000000004</v>
      </c>
      <c r="D44" s="6">
        <v>4643.6000000000004</v>
      </c>
      <c r="E44" s="6">
        <v>3782.8</v>
      </c>
      <c r="F44" s="6">
        <v>8541.2999999999993</v>
      </c>
      <c r="G44" s="6">
        <v>8270.2000000000007</v>
      </c>
      <c r="H44" s="7">
        <v>2084.5</v>
      </c>
      <c r="I44" s="6">
        <v>1433.7</v>
      </c>
      <c r="J44" s="6">
        <v>2984</v>
      </c>
      <c r="K44" s="6">
        <v>2159.9</v>
      </c>
      <c r="L44" s="6">
        <v>1323.4</v>
      </c>
      <c r="M44" s="6">
        <v>2033.8</v>
      </c>
      <c r="N44" s="6">
        <v>2660.4</v>
      </c>
      <c r="O44" s="6">
        <v>3342.8</v>
      </c>
      <c r="P44" s="6">
        <v>1740</v>
      </c>
    </row>
    <row r="45" spans="2:16" s="8" customFormat="1" ht="34.9" hidden="1" customHeight="1">
      <c r="B45" s="15">
        <v>39173</v>
      </c>
      <c r="C45" s="11">
        <v>4609.6000000000004</v>
      </c>
      <c r="D45" s="10">
        <v>4510.8999999999996</v>
      </c>
      <c r="E45" s="10">
        <v>3685.2</v>
      </c>
      <c r="F45" s="10">
        <v>7670</v>
      </c>
      <c r="G45" s="10">
        <v>7864.4</v>
      </c>
      <c r="H45" s="11">
        <v>2053.9</v>
      </c>
      <c r="I45" s="10">
        <v>1230.2</v>
      </c>
      <c r="J45" s="10">
        <v>3181.4</v>
      </c>
      <c r="K45" s="10">
        <v>2123.6999999999998</v>
      </c>
      <c r="L45" s="10">
        <v>1228.5</v>
      </c>
      <c r="M45" s="10">
        <v>1856.5</v>
      </c>
      <c r="N45" s="10">
        <v>2931.5</v>
      </c>
      <c r="O45" s="10">
        <v>3317.5</v>
      </c>
      <c r="P45" s="10">
        <v>1664.8</v>
      </c>
    </row>
    <row r="46" spans="2:16" s="8" customFormat="1" ht="34.9" hidden="1" customHeight="1">
      <c r="B46" s="14">
        <v>39203</v>
      </c>
      <c r="C46" s="7">
        <v>4578.1000000000004</v>
      </c>
      <c r="D46" s="6">
        <v>4416.8</v>
      </c>
      <c r="E46" s="6">
        <v>3623.3</v>
      </c>
      <c r="F46" s="6">
        <v>7698.6</v>
      </c>
      <c r="G46" s="6">
        <v>8167</v>
      </c>
      <c r="H46" s="7">
        <v>2057.1</v>
      </c>
      <c r="I46" s="6">
        <v>1199.8</v>
      </c>
      <c r="J46" s="6">
        <v>3317.3</v>
      </c>
      <c r="K46" s="6">
        <v>2125.9</v>
      </c>
      <c r="L46" s="6">
        <v>1325.1</v>
      </c>
      <c r="M46" s="6">
        <v>1827</v>
      </c>
      <c r="N46" s="6">
        <v>2938.1</v>
      </c>
      <c r="O46" s="6">
        <v>3191.2</v>
      </c>
      <c r="P46" s="6">
        <v>1804.3</v>
      </c>
    </row>
    <row r="47" spans="2:16" s="8" customFormat="1" ht="34.9" hidden="1" customHeight="1">
      <c r="B47" s="15">
        <v>39234</v>
      </c>
      <c r="C47" s="11">
        <v>4586.8999999999996</v>
      </c>
      <c r="D47" s="10">
        <v>4452.8</v>
      </c>
      <c r="E47" s="10">
        <v>3672.1</v>
      </c>
      <c r="F47" s="10">
        <v>7623.5</v>
      </c>
      <c r="G47" s="10">
        <v>8060.2</v>
      </c>
      <c r="H47" s="11">
        <v>2154.8000000000002</v>
      </c>
      <c r="I47" s="10">
        <v>1299</v>
      </c>
      <c r="J47" s="10">
        <v>3945.4</v>
      </c>
      <c r="K47" s="10">
        <v>2087.5</v>
      </c>
      <c r="L47" s="10">
        <v>1369.1</v>
      </c>
      <c r="M47" s="10">
        <v>1793.3</v>
      </c>
      <c r="N47" s="10">
        <v>2983.8</v>
      </c>
      <c r="O47" s="10">
        <v>3275.9</v>
      </c>
      <c r="P47" s="10">
        <v>1852.2</v>
      </c>
    </row>
    <row r="48" spans="2:16" s="8" customFormat="1" ht="34.9" hidden="1" customHeight="1">
      <c r="B48" s="14">
        <v>39264</v>
      </c>
      <c r="C48" s="7">
        <v>4440.1000000000004</v>
      </c>
      <c r="D48" s="6">
        <v>4269.5</v>
      </c>
      <c r="E48" s="6">
        <v>3569.9</v>
      </c>
      <c r="F48" s="6">
        <v>7374.4</v>
      </c>
      <c r="G48" s="6">
        <v>8053.5</v>
      </c>
      <c r="H48" s="7">
        <v>2146</v>
      </c>
      <c r="I48" s="6">
        <v>1208.3</v>
      </c>
      <c r="J48" s="6">
        <v>3893.9</v>
      </c>
      <c r="K48" s="6">
        <v>2104</v>
      </c>
      <c r="L48" s="6">
        <v>1357.7</v>
      </c>
      <c r="M48" s="6">
        <v>1770</v>
      </c>
      <c r="N48" s="6">
        <v>3308.7</v>
      </c>
      <c r="O48" s="6">
        <v>3271.7</v>
      </c>
      <c r="P48" s="6">
        <v>1749</v>
      </c>
    </row>
    <row r="49" spans="2:16" s="8" customFormat="1" ht="34.9" hidden="1" customHeight="1">
      <c r="B49" s="15">
        <v>39295</v>
      </c>
      <c r="C49" s="11">
        <v>4340.3</v>
      </c>
      <c r="D49" s="10">
        <v>4158.3</v>
      </c>
      <c r="E49" s="10">
        <v>3490.9</v>
      </c>
      <c r="F49" s="10">
        <v>7395.2</v>
      </c>
      <c r="G49" s="10">
        <v>7801</v>
      </c>
      <c r="H49" s="11">
        <v>2057.9</v>
      </c>
      <c r="I49" s="10">
        <v>1067.2</v>
      </c>
      <c r="J49" s="10">
        <v>3724.6</v>
      </c>
      <c r="K49" s="10">
        <v>2070.6</v>
      </c>
      <c r="L49" s="10">
        <v>1226.8</v>
      </c>
      <c r="M49" s="10">
        <v>1784.9</v>
      </c>
      <c r="N49" s="10">
        <v>3310.3</v>
      </c>
      <c r="O49" s="10">
        <v>3061.6</v>
      </c>
      <c r="P49" s="10">
        <v>1725.5</v>
      </c>
    </row>
    <row r="50" spans="2:16" s="8" customFormat="1" ht="34.9" hidden="1" customHeight="1">
      <c r="B50" s="14">
        <v>39326</v>
      </c>
      <c r="C50" s="7">
        <v>4515.8</v>
      </c>
      <c r="D50" s="6">
        <v>4261.3</v>
      </c>
      <c r="E50" s="6">
        <v>3588</v>
      </c>
      <c r="F50" s="6">
        <v>8205.6</v>
      </c>
      <c r="G50" s="6">
        <v>8112.4</v>
      </c>
      <c r="H50" s="7">
        <v>2043.7</v>
      </c>
      <c r="I50" s="6">
        <v>1032</v>
      </c>
      <c r="J50" s="6">
        <v>3557.8</v>
      </c>
      <c r="K50" s="6">
        <v>2078.1</v>
      </c>
      <c r="L50" s="6">
        <v>1209.0999999999999</v>
      </c>
      <c r="M50" s="6">
        <v>1802.2</v>
      </c>
      <c r="N50" s="6">
        <v>3224.1</v>
      </c>
      <c r="O50" s="6">
        <v>3049.6</v>
      </c>
      <c r="P50" s="6">
        <v>1921.3</v>
      </c>
    </row>
    <row r="51" spans="2:16" s="8" customFormat="1" ht="34.9" hidden="1" customHeight="1">
      <c r="B51" s="15">
        <v>39356</v>
      </c>
      <c r="C51" s="11">
        <v>5007.5</v>
      </c>
      <c r="D51" s="10">
        <v>4772</v>
      </c>
      <c r="E51" s="10">
        <v>3576.9</v>
      </c>
      <c r="F51" s="10">
        <v>9339.2000000000007</v>
      </c>
      <c r="G51" s="10">
        <v>8759.1</v>
      </c>
      <c r="H51" s="11">
        <v>2176.9</v>
      </c>
      <c r="I51" s="10">
        <v>1035.9000000000001</v>
      </c>
      <c r="J51" s="10">
        <v>3495.3</v>
      </c>
      <c r="K51" s="10">
        <v>2134.1</v>
      </c>
      <c r="L51" s="10">
        <v>1338.1</v>
      </c>
      <c r="M51" s="10">
        <v>1925.6</v>
      </c>
      <c r="N51" s="10">
        <v>3757.3</v>
      </c>
      <c r="O51" s="10">
        <v>3498</v>
      </c>
      <c r="P51" s="10">
        <v>1855.1</v>
      </c>
    </row>
    <row r="52" spans="2:16" s="8" customFormat="1" ht="34.9" hidden="1" customHeight="1">
      <c r="B52" s="14">
        <v>39387</v>
      </c>
      <c r="C52" s="7">
        <v>5008.8999999999996</v>
      </c>
      <c r="D52" s="6">
        <v>4893.2</v>
      </c>
      <c r="E52" s="6">
        <v>3568</v>
      </c>
      <c r="F52" s="6">
        <v>9203.7999999999993</v>
      </c>
      <c r="G52" s="6">
        <v>8117</v>
      </c>
      <c r="H52" s="7">
        <v>2209.8000000000002</v>
      </c>
      <c r="I52" s="6">
        <v>1021</v>
      </c>
      <c r="J52" s="6">
        <v>3271.2</v>
      </c>
      <c r="K52" s="6">
        <v>2083.6999999999998</v>
      </c>
      <c r="L52" s="6">
        <v>1383.4</v>
      </c>
      <c r="M52" s="6">
        <v>2206.3000000000002</v>
      </c>
      <c r="N52" s="6">
        <v>3736.8</v>
      </c>
      <c r="O52" s="6">
        <v>3640</v>
      </c>
      <c r="P52" s="6">
        <v>1812.3</v>
      </c>
    </row>
    <row r="53" spans="2:16" s="8" customFormat="1" ht="34.9" hidden="1" customHeight="1">
      <c r="B53" s="15">
        <v>39417</v>
      </c>
      <c r="C53" s="11">
        <v>5131</v>
      </c>
      <c r="D53" s="10">
        <v>5122.2</v>
      </c>
      <c r="E53" s="10">
        <v>3690.1</v>
      </c>
      <c r="F53" s="10">
        <v>9149</v>
      </c>
      <c r="G53" s="10">
        <v>7823.7</v>
      </c>
      <c r="H53" s="11">
        <v>2460.3000000000002</v>
      </c>
      <c r="I53" s="10">
        <v>961.8</v>
      </c>
      <c r="J53" s="10">
        <v>3280.4</v>
      </c>
      <c r="K53" s="10">
        <v>2181.9</v>
      </c>
      <c r="L53" s="10">
        <v>1363.1</v>
      </c>
      <c r="M53" s="10">
        <v>2392.6999999999998</v>
      </c>
      <c r="N53" s="10">
        <v>3858.9</v>
      </c>
      <c r="O53" s="10">
        <v>4699.7</v>
      </c>
      <c r="P53" s="10">
        <v>1889.5</v>
      </c>
    </row>
    <row r="54" spans="2:16" s="8" customFormat="1" ht="34.9" hidden="1" customHeight="1">
      <c r="B54" s="3">
        <v>2008</v>
      </c>
      <c r="C54" s="13"/>
      <c r="D54" s="12"/>
      <c r="E54" s="12"/>
      <c r="F54" s="12"/>
      <c r="G54" s="12"/>
      <c r="H54" s="13"/>
      <c r="I54" s="12"/>
      <c r="J54" s="12"/>
      <c r="K54" s="12"/>
      <c r="L54" s="12"/>
      <c r="M54" s="12"/>
      <c r="N54" s="12"/>
      <c r="O54" s="12"/>
      <c r="P54" s="12"/>
    </row>
    <row r="55" spans="2:16" s="8" customFormat="1" ht="34.9" hidden="1" customHeight="1">
      <c r="B55" s="14">
        <v>39448</v>
      </c>
      <c r="C55" s="7">
        <v>5258.7</v>
      </c>
      <c r="D55" s="6">
        <v>5319.5</v>
      </c>
      <c r="E55" s="6">
        <v>3670</v>
      </c>
      <c r="F55" s="6">
        <v>9083.7999999999993</v>
      </c>
      <c r="G55" s="6">
        <v>8017.3</v>
      </c>
      <c r="H55" s="7">
        <v>2659.5</v>
      </c>
      <c r="I55" s="6">
        <v>971.9</v>
      </c>
      <c r="J55" s="6">
        <v>3349</v>
      </c>
      <c r="K55" s="6">
        <v>2211.6999999999998</v>
      </c>
      <c r="L55" s="6">
        <v>1330.3</v>
      </c>
      <c r="M55" s="6">
        <v>2337.1999999999998</v>
      </c>
      <c r="N55" s="6">
        <v>4084.3</v>
      </c>
      <c r="O55" s="6">
        <v>5769.3</v>
      </c>
      <c r="P55" s="6">
        <v>1871.7</v>
      </c>
    </row>
    <row r="56" spans="2:16" s="8" customFormat="1" ht="34.9" hidden="1" customHeight="1">
      <c r="B56" s="15">
        <v>39479</v>
      </c>
      <c r="C56" s="11">
        <v>5237</v>
      </c>
      <c r="D56" s="10">
        <v>5395.1</v>
      </c>
      <c r="E56" s="10">
        <v>3644</v>
      </c>
      <c r="F56" s="10">
        <v>8661.7999999999993</v>
      </c>
      <c r="G56" s="10">
        <v>5885.7</v>
      </c>
      <c r="H56" s="11">
        <v>2808.1</v>
      </c>
      <c r="I56" s="10">
        <v>1043.3</v>
      </c>
      <c r="J56" s="10">
        <v>3396.7</v>
      </c>
      <c r="K56" s="10">
        <v>2154.6999999999998</v>
      </c>
      <c r="L56" s="10">
        <v>1316.2</v>
      </c>
      <c r="M56" s="10">
        <v>2560</v>
      </c>
      <c r="N56" s="10">
        <v>4148.3999999999996</v>
      </c>
      <c r="O56" s="10">
        <v>6506.7</v>
      </c>
      <c r="P56" s="10">
        <v>1798</v>
      </c>
    </row>
    <row r="57" spans="2:16" s="8" customFormat="1" ht="34.9" hidden="1" customHeight="1">
      <c r="B57" s="14">
        <v>39508</v>
      </c>
      <c r="C57" s="7">
        <v>4997.1000000000004</v>
      </c>
      <c r="D57" s="6">
        <v>4995.5</v>
      </c>
      <c r="E57" s="6">
        <v>3582.8</v>
      </c>
      <c r="F57" s="6">
        <v>8450.4</v>
      </c>
      <c r="G57" s="6">
        <v>8002.1</v>
      </c>
      <c r="H57" s="7">
        <v>2850.3</v>
      </c>
      <c r="I57" s="6">
        <v>1110.8</v>
      </c>
      <c r="J57" s="6">
        <v>3005.8</v>
      </c>
      <c r="K57" s="6">
        <v>2174.5</v>
      </c>
      <c r="L57" s="6">
        <v>1368</v>
      </c>
      <c r="M57" s="6">
        <v>2462.6999999999998</v>
      </c>
      <c r="N57" s="6">
        <v>4012.6</v>
      </c>
      <c r="O57" s="6">
        <v>6986.5</v>
      </c>
      <c r="P57" s="6">
        <v>1743</v>
      </c>
    </row>
    <row r="58" spans="2:16" s="8" customFormat="1" ht="34.9" hidden="1" customHeight="1">
      <c r="B58" s="15">
        <v>39539</v>
      </c>
      <c r="C58" s="11">
        <v>5054.7</v>
      </c>
      <c r="D58" s="10">
        <v>5028.5</v>
      </c>
      <c r="E58" s="10">
        <v>3613.1</v>
      </c>
      <c r="F58" s="10">
        <v>8474.4</v>
      </c>
      <c r="G58" s="10">
        <v>8282.2000000000007</v>
      </c>
      <c r="H58" s="11">
        <v>3085.3</v>
      </c>
      <c r="I58" s="10">
        <v>996.7</v>
      </c>
      <c r="J58" s="10">
        <v>3061.6</v>
      </c>
      <c r="K58" s="10">
        <v>2260.6999999999998</v>
      </c>
      <c r="L58" s="10">
        <v>1418.6</v>
      </c>
      <c r="M58" s="10">
        <v>2407.4</v>
      </c>
      <c r="N58" s="10">
        <v>3796.4</v>
      </c>
      <c r="O58" s="10">
        <v>8218</v>
      </c>
      <c r="P58" s="10">
        <v>1743.4</v>
      </c>
    </row>
    <row r="59" spans="2:16" s="8" customFormat="1" ht="34.9" hidden="1" customHeight="1">
      <c r="B59" s="14">
        <v>39569</v>
      </c>
      <c r="C59" s="7">
        <v>5223.17</v>
      </c>
      <c r="D59" s="6">
        <v>5182.13</v>
      </c>
      <c r="E59" s="6">
        <v>3770.72</v>
      </c>
      <c r="F59" s="6">
        <v>8800</v>
      </c>
      <c r="G59" s="6">
        <v>8564.39</v>
      </c>
      <c r="H59" s="7">
        <v>3239.52</v>
      </c>
      <c r="I59" s="6">
        <v>1073.99</v>
      </c>
      <c r="J59" s="6">
        <v>3038</v>
      </c>
      <c r="K59" s="6">
        <v>2279.41</v>
      </c>
      <c r="L59" s="6">
        <v>1369.47</v>
      </c>
      <c r="M59" s="6">
        <v>2634.92</v>
      </c>
      <c r="N59" s="6">
        <v>3761.67</v>
      </c>
      <c r="O59" s="6">
        <v>8895.83</v>
      </c>
      <c r="P59" s="6">
        <v>1886.46</v>
      </c>
    </row>
    <row r="60" spans="2:16" s="8" customFormat="1" ht="34.9" hidden="1" customHeight="1">
      <c r="B60" s="15">
        <v>39600</v>
      </c>
      <c r="C60" s="11">
        <v>5559</v>
      </c>
      <c r="D60" s="10">
        <v>5578.4</v>
      </c>
      <c r="E60" s="10">
        <v>4179</v>
      </c>
      <c r="F60" s="10">
        <v>9824.2000000000007</v>
      </c>
      <c r="G60" s="10">
        <v>8318.7999999999993</v>
      </c>
      <c r="H60" s="11">
        <v>3366.7</v>
      </c>
      <c r="I60" s="10">
        <v>1101.4000000000001</v>
      </c>
      <c r="J60" s="10">
        <v>3146.6</v>
      </c>
      <c r="K60" s="10">
        <v>2408.5</v>
      </c>
      <c r="L60" s="10">
        <v>1460.6</v>
      </c>
      <c r="M60" s="10">
        <v>2511.3000000000002</v>
      </c>
      <c r="N60" s="10">
        <v>3964.5</v>
      </c>
      <c r="O60" s="10">
        <v>9141.9</v>
      </c>
      <c r="P60" s="10">
        <v>2364.8000000000002</v>
      </c>
    </row>
    <row r="61" spans="2:16" s="8" customFormat="1" ht="34.9" hidden="1" customHeight="1">
      <c r="B61" s="14">
        <v>39630</v>
      </c>
      <c r="C61" s="7">
        <v>5573.8</v>
      </c>
      <c r="D61" s="6">
        <v>5748.3</v>
      </c>
      <c r="E61" s="6">
        <v>4011.9</v>
      </c>
      <c r="F61" s="6">
        <v>9447.2000000000007</v>
      </c>
      <c r="G61" s="6">
        <v>8077.6</v>
      </c>
      <c r="H61" s="7">
        <v>3070.1</v>
      </c>
      <c r="I61" s="6">
        <v>1026.9000000000001</v>
      </c>
      <c r="J61" s="6">
        <v>3161.3</v>
      </c>
      <c r="K61" s="6">
        <v>2315.8000000000002</v>
      </c>
      <c r="L61" s="6">
        <v>1376.7</v>
      </c>
      <c r="M61" s="6">
        <v>2418.5</v>
      </c>
      <c r="N61" s="6">
        <v>3911.9</v>
      </c>
      <c r="O61" s="6">
        <v>7830.3</v>
      </c>
      <c r="P61" s="6">
        <v>2215.8000000000002</v>
      </c>
    </row>
    <row r="62" spans="2:16" s="8" customFormat="1" ht="34.9" hidden="1" customHeight="1">
      <c r="B62" s="15">
        <v>39661</v>
      </c>
      <c r="C62" s="11">
        <v>5450.15</v>
      </c>
      <c r="D62" s="10">
        <v>5563.64</v>
      </c>
      <c r="E62" s="10">
        <v>4001.04</v>
      </c>
      <c r="F62" s="10">
        <v>9380.92</v>
      </c>
      <c r="G62" s="10">
        <v>7986.63</v>
      </c>
      <c r="H62" s="11">
        <v>2950.09</v>
      </c>
      <c r="I62" s="10">
        <v>985.16</v>
      </c>
      <c r="J62" s="10">
        <v>3118.18</v>
      </c>
      <c r="K62" s="10">
        <v>2323.36</v>
      </c>
      <c r="L62" s="10">
        <v>1389.91</v>
      </c>
      <c r="M62" s="10">
        <v>2331.94</v>
      </c>
      <c r="N62" s="10">
        <v>3768.75</v>
      </c>
      <c r="O62" s="10">
        <v>7291.56</v>
      </c>
      <c r="P62" s="10">
        <v>2127.31</v>
      </c>
    </row>
    <row r="63" spans="2:16" s="8" customFormat="1" ht="34.9" hidden="1" customHeight="1">
      <c r="B63" s="14">
        <v>39692</v>
      </c>
      <c r="C63" s="7">
        <v>5093.5</v>
      </c>
      <c r="D63" s="6">
        <v>5286.9</v>
      </c>
      <c r="E63" s="6">
        <v>3929.55</v>
      </c>
      <c r="F63" s="6">
        <v>8757.61</v>
      </c>
      <c r="G63" s="6">
        <v>6999.79</v>
      </c>
      <c r="H63" s="7">
        <v>2717.35</v>
      </c>
      <c r="I63" s="6">
        <v>977.03</v>
      </c>
      <c r="J63" s="6">
        <v>2994.7</v>
      </c>
      <c r="K63" s="6">
        <v>2267.87</v>
      </c>
      <c r="L63" s="6">
        <v>1343.03</v>
      </c>
      <c r="M63" s="6">
        <v>2199.83</v>
      </c>
      <c r="N63" s="6">
        <v>3721.28</v>
      </c>
      <c r="O63" s="6">
        <v>6307.98</v>
      </c>
      <c r="P63" s="6">
        <v>2036.42</v>
      </c>
    </row>
    <row r="64" spans="2:16" s="8" customFormat="1" ht="34.9" hidden="1" customHeight="1">
      <c r="B64" s="15">
        <v>39722</v>
      </c>
      <c r="C64" s="11">
        <v>4352.17</v>
      </c>
      <c r="D64" s="10">
        <v>4784.21</v>
      </c>
      <c r="E64" s="10">
        <v>3461.1</v>
      </c>
      <c r="F64" s="10">
        <v>6568.83</v>
      </c>
      <c r="G64" s="10">
        <v>5480.44</v>
      </c>
      <c r="H64" s="11">
        <v>2157.71</v>
      </c>
      <c r="I64" s="10">
        <v>868.17</v>
      </c>
      <c r="J64" s="10">
        <v>2712.73</v>
      </c>
      <c r="K64" s="10">
        <v>2135.31</v>
      </c>
      <c r="L64" s="10">
        <v>1140.98</v>
      </c>
      <c r="M64" s="10">
        <v>1817.89</v>
      </c>
      <c r="N64" s="10">
        <v>3398.86</v>
      </c>
      <c r="O64" s="10">
        <v>4198.3900000000003</v>
      </c>
      <c r="P64" s="10">
        <v>1794.12</v>
      </c>
    </row>
    <row r="65" spans="2:16" s="8" customFormat="1" ht="34.9" hidden="1" customHeight="1">
      <c r="B65" s="14">
        <v>39753</v>
      </c>
      <c r="C65" s="7">
        <v>3735.1</v>
      </c>
      <c r="D65" s="6">
        <v>4217.1000000000004</v>
      </c>
      <c r="E65" s="6">
        <v>3327.3</v>
      </c>
      <c r="F65" s="6">
        <v>5121.8999999999996</v>
      </c>
      <c r="G65" s="6">
        <v>4420.3999999999996</v>
      </c>
      <c r="H65" s="7">
        <v>1996.2</v>
      </c>
      <c r="I65" s="6">
        <v>805.8</v>
      </c>
      <c r="J65" s="6">
        <v>2895.8</v>
      </c>
      <c r="K65" s="6">
        <v>1859.2</v>
      </c>
      <c r="L65" s="6">
        <v>873</v>
      </c>
      <c r="M65" s="6">
        <v>1856.7</v>
      </c>
      <c r="N65" s="6">
        <v>2972.4</v>
      </c>
      <c r="O65" s="6">
        <v>3950.4</v>
      </c>
      <c r="P65" s="6">
        <v>1551.7</v>
      </c>
    </row>
    <row r="66" spans="2:16" s="8" customFormat="1" ht="34.9" hidden="1" customHeight="1">
      <c r="B66" s="15">
        <v>39783</v>
      </c>
      <c r="C66" s="11">
        <v>3609.1</v>
      </c>
      <c r="D66" s="10">
        <v>4196.3</v>
      </c>
      <c r="E66" s="10">
        <v>3231.1</v>
      </c>
      <c r="F66" s="10">
        <v>4796.2</v>
      </c>
      <c r="G66" s="10">
        <v>3879</v>
      </c>
      <c r="H66" s="11">
        <v>2025.6</v>
      </c>
      <c r="I66" s="10">
        <v>881.7</v>
      </c>
      <c r="J66" s="10">
        <v>3275.9</v>
      </c>
      <c r="K66" s="10">
        <v>1997.5</v>
      </c>
      <c r="L66" s="10">
        <v>850</v>
      </c>
      <c r="M66" s="10">
        <v>1726</v>
      </c>
      <c r="N66" s="10">
        <v>3031.6</v>
      </c>
      <c r="O66" s="10">
        <v>3863.5</v>
      </c>
      <c r="P66" s="10">
        <v>1490.4</v>
      </c>
    </row>
    <row r="67" spans="2:16" s="8" customFormat="1" ht="34.9" hidden="1" customHeight="1">
      <c r="B67" s="3">
        <v>2009</v>
      </c>
      <c r="C67" s="13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  <c r="O67" s="12"/>
      <c r="P67" s="12"/>
    </row>
    <row r="68" spans="2:16" s="8" customFormat="1" ht="34.9" hidden="1" customHeight="1">
      <c r="B68" s="14">
        <v>39814</v>
      </c>
      <c r="C68" s="7">
        <v>3524.2</v>
      </c>
      <c r="D68" s="6">
        <v>4063.9</v>
      </c>
      <c r="E68" s="6">
        <v>3091.5</v>
      </c>
      <c r="F68" s="6">
        <v>4609.6000000000004</v>
      </c>
      <c r="G68" s="6">
        <v>4016.6</v>
      </c>
      <c r="H68" s="7">
        <v>1949.1</v>
      </c>
      <c r="I68" s="6">
        <v>770.8</v>
      </c>
      <c r="J68" s="6">
        <v>2952</v>
      </c>
      <c r="K68" s="6">
        <v>1927.3</v>
      </c>
      <c r="L68" s="6">
        <v>888.7</v>
      </c>
      <c r="M68" s="6">
        <v>1742.8</v>
      </c>
      <c r="N68" s="6">
        <v>2664.4</v>
      </c>
      <c r="O68" s="6">
        <v>3791.8</v>
      </c>
      <c r="P68" s="6">
        <v>1341.5</v>
      </c>
    </row>
    <row r="69" spans="2:16" s="8" customFormat="1" ht="34.9" hidden="1" customHeight="1">
      <c r="B69" s="15">
        <v>39845</v>
      </c>
      <c r="C69" s="11">
        <v>3447.22</v>
      </c>
      <c r="D69" s="10">
        <v>3851.56</v>
      </c>
      <c r="E69" s="10">
        <v>3096.99</v>
      </c>
      <c r="F69" s="10">
        <v>4670.7700000000004</v>
      </c>
      <c r="G69" s="10">
        <v>4259.83</v>
      </c>
      <c r="H69" s="11">
        <v>1859.54</v>
      </c>
      <c r="I69" s="10">
        <v>758.32</v>
      </c>
      <c r="J69" s="10">
        <v>2890.48</v>
      </c>
      <c r="K69" s="10">
        <v>1852.87</v>
      </c>
      <c r="L69" s="10">
        <v>820.61</v>
      </c>
      <c r="M69" s="10">
        <v>1742.77</v>
      </c>
      <c r="N69" s="10">
        <v>2910.19</v>
      </c>
      <c r="O69" s="10">
        <v>3414.59</v>
      </c>
      <c r="P69" s="10">
        <v>1428.54</v>
      </c>
    </row>
    <row r="70" spans="2:16" s="8" customFormat="1" ht="34.9" hidden="1" customHeight="1">
      <c r="B70" s="14">
        <v>39873</v>
      </c>
      <c r="C70" s="7">
        <v>3447.22</v>
      </c>
      <c r="D70" s="6">
        <v>3712.22</v>
      </c>
      <c r="E70" s="6">
        <v>3126.32</v>
      </c>
      <c r="F70" s="6">
        <v>4986.53</v>
      </c>
      <c r="G70" s="6">
        <v>4551.38</v>
      </c>
      <c r="H70" s="7">
        <v>2044.67</v>
      </c>
      <c r="I70" s="6">
        <v>843.3</v>
      </c>
      <c r="J70" s="6">
        <v>2943.22</v>
      </c>
      <c r="K70" s="6">
        <v>1848.25</v>
      </c>
      <c r="L70" s="6">
        <v>860.68</v>
      </c>
      <c r="M70" s="6">
        <v>1893.04</v>
      </c>
      <c r="N70" s="6">
        <v>2653.87</v>
      </c>
      <c r="O70" s="6">
        <v>4164.29</v>
      </c>
      <c r="P70" s="6">
        <v>1732.05</v>
      </c>
    </row>
    <row r="71" spans="2:16" s="8" customFormat="1" ht="34.9" hidden="1" customHeight="1">
      <c r="B71" s="15">
        <v>39904</v>
      </c>
      <c r="C71" s="11">
        <v>3572.34</v>
      </c>
      <c r="D71" s="10">
        <v>3760.6</v>
      </c>
      <c r="E71" s="10">
        <v>3214.1</v>
      </c>
      <c r="F71" s="10">
        <v>5861.48</v>
      </c>
      <c r="G71" s="10">
        <v>4509.37</v>
      </c>
      <c r="H71" s="11">
        <v>2029.37</v>
      </c>
      <c r="I71" s="10">
        <v>803.82</v>
      </c>
      <c r="J71" s="10">
        <v>2766.1</v>
      </c>
      <c r="K71" s="10">
        <v>1859.1</v>
      </c>
      <c r="L71" s="10">
        <v>927.62</v>
      </c>
      <c r="M71" s="10">
        <v>1767.12</v>
      </c>
      <c r="N71" s="10">
        <v>2635.58</v>
      </c>
      <c r="O71" s="10">
        <v>4191.3</v>
      </c>
      <c r="P71" s="10">
        <v>1714.17</v>
      </c>
    </row>
    <row r="72" spans="2:16" s="8" customFormat="1" ht="34.9" hidden="1" customHeight="1">
      <c r="B72" s="14">
        <v>39934</v>
      </c>
      <c r="C72" s="7">
        <v>3619.3</v>
      </c>
      <c r="D72" s="6">
        <v>3988.7</v>
      </c>
      <c r="E72" s="6">
        <v>3237.1</v>
      </c>
      <c r="F72" s="6">
        <v>5186.8</v>
      </c>
      <c r="G72" s="6">
        <v>4474.6000000000004</v>
      </c>
      <c r="H72" s="7">
        <v>2032.9</v>
      </c>
      <c r="I72" s="6">
        <v>778.6</v>
      </c>
      <c r="J72" s="6">
        <v>2664.4</v>
      </c>
      <c r="K72" s="6">
        <v>1845.5</v>
      </c>
      <c r="L72" s="6">
        <v>895.5</v>
      </c>
      <c r="M72" s="6">
        <v>1756.2</v>
      </c>
      <c r="N72" s="6">
        <v>2570.9</v>
      </c>
      <c r="O72" s="6">
        <v>4356</v>
      </c>
      <c r="P72" s="6">
        <v>1672.2</v>
      </c>
    </row>
    <row r="73" spans="2:16" s="8" customFormat="1" ht="34.9" hidden="1" customHeight="1">
      <c r="B73" s="15">
        <v>39965</v>
      </c>
      <c r="C73" s="11">
        <v>3407.9</v>
      </c>
      <c r="D73" s="10">
        <v>3879.7</v>
      </c>
      <c r="E73" s="10">
        <v>3077.2</v>
      </c>
      <c r="F73" s="10">
        <v>4569.8</v>
      </c>
      <c r="G73" s="10">
        <v>3957.9</v>
      </c>
      <c r="H73" s="11">
        <v>2052.6</v>
      </c>
      <c r="I73" s="10">
        <v>775.9</v>
      </c>
      <c r="J73" s="10">
        <v>2649.8</v>
      </c>
      <c r="K73" s="10">
        <v>1895.3</v>
      </c>
      <c r="L73" s="10">
        <v>822</v>
      </c>
      <c r="M73" s="10">
        <v>1784.1</v>
      </c>
      <c r="N73" s="10">
        <v>2597.8000000000002</v>
      </c>
      <c r="O73" s="10">
        <v>4512.3999999999996</v>
      </c>
      <c r="P73" s="10">
        <v>1582</v>
      </c>
    </row>
    <row r="74" spans="2:16" s="8" customFormat="1" ht="34.9" hidden="1" customHeight="1">
      <c r="B74" s="14">
        <v>39995</v>
      </c>
      <c r="C74" s="7">
        <v>3209</v>
      </c>
      <c r="D74" s="6">
        <v>3700.9</v>
      </c>
      <c r="E74" s="6">
        <v>2870.4</v>
      </c>
      <c r="F74" s="6">
        <v>4264.7</v>
      </c>
      <c r="G74" s="6">
        <v>3600.7</v>
      </c>
      <c r="H74" s="7">
        <v>1984.6</v>
      </c>
      <c r="I74" s="6">
        <v>766.8</v>
      </c>
      <c r="J74" s="6">
        <v>2461.9</v>
      </c>
      <c r="K74" s="6">
        <v>1833.4</v>
      </c>
      <c r="L74" s="6">
        <v>748.2</v>
      </c>
      <c r="M74" s="6">
        <v>1786.7</v>
      </c>
      <c r="N74" s="6">
        <v>2597.5</v>
      </c>
      <c r="O74" s="6">
        <v>4422.8</v>
      </c>
      <c r="P74" s="6">
        <v>1517.1</v>
      </c>
    </row>
    <row r="75" spans="2:16" s="8" customFormat="1" ht="34.9" hidden="1" customHeight="1">
      <c r="B75" s="15">
        <v>40026</v>
      </c>
      <c r="C75" s="11">
        <v>3117.2</v>
      </c>
      <c r="D75" s="10">
        <v>3702</v>
      </c>
      <c r="E75" s="10">
        <v>2755.5</v>
      </c>
      <c r="F75" s="10">
        <v>3988.4</v>
      </c>
      <c r="G75" s="10">
        <v>3257</v>
      </c>
      <c r="H75" s="11">
        <v>1972.6</v>
      </c>
      <c r="I75" s="10">
        <v>779.8</v>
      </c>
      <c r="J75" s="10">
        <v>2467.5</v>
      </c>
      <c r="K75" s="10">
        <v>1738.9</v>
      </c>
      <c r="L75" s="10">
        <v>796.5</v>
      </c>
      <c r="M75" s="10">
        <v>1759.5</v>
      </c>
      <c r="N75" s="10">
        <v>2555.6999999999998</v>
      </c>
      <c r="O75" s="10">
        <v>4430.3</v>
      </c>
      <c r="P75" s="10">
        <v>1475.2</v>
      </c>
    </row>
    <row r="76" spans="2:16" s="8" customFormat="1" ht="34.9" hidden="1" customHeight="1">
      <c r="B76" s="14">
        <v>40057</v>
      </c>
      <c r="C76" s="7">
        <v>3389.6</v>
      </c>
      <c r="D76" s="6">
        <v>3786.7</v>
      </c>
      <c r="E76" s="6">
        <v>2938.5</v>
      </c>
      <c r="F76" s="6">
        <v>4822.8999999999996</v>
      </c>
      <c r="G76" s="6">
        <v>4028.3</v>
      </c>
      <c r="H76" s="7">
        <v>2029.1</v>
      </c>
      <c r="I76" s="6">
        <v>807.5</v>
      </c>
      <c r="J76" s="6">
        <v>2467.6</v>
      </c>
      <c r="K76" s="6">
        <v>1765.3</v>
      </c>
      <c r="L76" s="6">
        <v>883.6</v>
      </c>
      <c r="M76" s="6">
        <v>1835.8</v>
      </c>
      <c r="N76" s="6">
        <v>2559.4</v>
      </c>
      <c r="O76" s="6">
        <v>4433.8</v>
      </c>
      <c r="P76" s="6">
        <v>1752</v>
      </c>
    </row>
    <row r="77" spans="2:16" s="8" customFormat="1" ht="34.9" hidden="1" customHeight="1">
      <c r="B77" s="15">
        <v>40087</v>
      </c>
      <c r="C77" s="11">
        <v>3257</v>
      </c>
      <c r="D77" s="10">
        <v>3786.9</v>
      </c>
      <c r="E77" s="10">
        <v>2861.7</v>
      </c>
      <c r="F77" s="10">
        <v>4420</v>
      </c>
      <c r="G77" s="10">
        <v>3507.6</v>
      </c>
      <c r="H77" s="11">
        <v>2077</v>
      </c>
      <c r="I77" s="10">
        <v>853.7</v>
      </c>
      <c r="J77" s="10">
        <v>2421.5</v>
      </c>
      <c r="K77" s="10">
        <v>1777.9</v>
      </c>
      <c r="L77" s="10">
        <v>962.9</v>
      </c>
      <c r="M77" s="10">
        <v>1804.2</v>
      </c>
      <c r="N77" s="10">
        <v>2653.1</v>
      </c>
      <c r="O77" s="10">
        <v>4665.7</v>
      </c>
      <c r="P77" s="10">
        <v>1610.8</v>
      </c>
    </row>
    <row r="78" spans="2:16" s="8" customFormat="1" ht="34.9" hidden="1" customHeight="1">
      <c r="B78" s="14">
        <v>40118</v>
      </c>
      <c r="C78" s="7">
        <v>3135</v>
      </c>
      <c r="D78" s="6">
        <v>3688.7</v>
      </c>
      <c r="E78" s="6">
        <v>2860.8</v>
      </c>
      <c r="F78" s="6">
        <v>4057.4</v>
      </c>
      <c r="G78" s="6">
        <v>3337.8</v>
      </c>
      <c r="H78" s="7">
        <v>2111.8000000000002</v>
      </c>
      <c r="I78" s="6">
        <v>861.1</v>
      </c>
      <c r="J78" s="6">
        <v>2509.5</v>
      </c>
      <c r="K78" s="6">
        <v>1820.7</v>
      </c>
      <c r="L78" s="6">
        <v>903.8</v>
      </c>
      <c r="M78" s="6">
        <v>1818.5</v>
      </c>
      <c r="N78" s="6">
        <v>2883.8</v>
      </c>
      <c r="O78" s="6">
        <v>4838.7</v>
      </c>
      <c r="P78" s="6">
        <v>1542.3</v>
      </c>
    </row>
    <row r="79" spans="2:16" s="8" customFormat="1" ht="34.9" hidden="1" customHeight="1">
      <c r="B79" s="15">
        <v>40148</v>
      </c>
      <c r="C79" s="11">
        <v>3026.8</v>
      </c>
      <c r="D79" s="10">
        <v>3646.8</v>
      </c>
      <c r="E79" s="10">
        <v>2838</v>
      </c>
      <c r="F79" s="10">
        <v>3618.3</v>
      </c>
      <c r="G79" s="10">
        <v>3131</v>
      </c>
      <c r="H79" s="11">
        <v>2107.9</v>
      </c>
      <c r="I79" s="10">
        <v>821.1</v>
      </c>
      <c r="J79" s="10">
        <v>2643</v>
      </c>
      <c r="K79" s="10">
        <v>1784.1</v>
      </c>
      <c r="L79" s="10">
        <v>914</v>
      </c>
      <c r="M79" s="10">
        <v>1792</v>
      </c>
      <c r="N79" s="10">
        <v>2806.7</v>
      </c>
      <c r="O79" s="10">
        <v>4795.5</v>
      </c>
      <c r="P79" s="10">
        <v>1557.9</v>
      </c>
    </row>
    <row r="80" spans="2:16" s="8" customFormat="1" ht="34.9" hidden="1" customHeight="1">
      <c r="B80" s="3">
        <v>2010</v>
      </c>
      <c r="C80" s="13"/>
      <c r="D80" s="12"/>
      <c r="E80" s="12"/>
      <c r="F80" s="12"/>
      <c r="G80" s="12"/>
      <c r="H80" s="13"/>
      <c r="I80" s="12"/>
      <c r="J80" s="12"/>
      <c r="K80" s="12"/>
      <c r="L80" s="12"/>
      <c r="M80" s="12"/>
      <c r="N80" s="12"/>
      <c r="O80" s="12"/>
      <c r="P80" s="12"/>
    </row>
    <row r="81" spans="2:16" s="8" customFormat="1" ht="34.9" hidden="1" customHeight="1">
      <c r="B81" s="14">
        <v>40179</v>
      </c>
      <c r="C81" s="7">
        <v>3011.6</v>
      </c>
      <c r="D81" s="6">
        <v>3645.9</v>
      </c>
      <c r="E81" s="6">
        <v>2756.3</v>
      </c>
      <c r="F81" s="6">
        <v>3521</v>
      </c>
      <c r="G81" s="6">
        <v>3151.1</v>
      </c>
      <c r="H81" s="7">
        <v>2097.1999999999998</v>
      </c>
      <c r="I81" s="6">
        <v>792.2</v>
      </c>
      <c r="J81" s="6">
        <v>2547</v>
      </c>
      <c r="K81" s="6">
        <v>1857.1</v>
      </c>
      <c r="L81" s="6">
        <v>908.4</v>
      </c>
      <c r="M81" s="6">
        <v>1848.8</v>
      </c>
      <c r="N81" s="6">
        <v>2907</v>
      </c>
      <c r="O81" s="6">
        <v>4802.2</v>
      </c>
      <c r="P81" s="6">
        <v>1318</v>
      </c>
    </row>
    <row r="82" spans="2:16" s="8" customFormat="1" ht="34.9" hidden="1" customHeight="1">
      <c r="B82" s="15">
        <v>40210</v>
      </c>
      <c r="C82" s="11">
        <v>2972.1</v>
      </c>
      <c r="D82" s="10">
        <v>3655.5</v>
      </c>
      <c r="E82" s="10">
        <v>2663.2</v>
      </c>
      <c r="F82" s="10">
        <v>3458.8</v>
      </c>
      <c r="G82" s="10">
        <v>2944.5</v>
      </c>
      <c r="H82" s="11">
        <v>2051.5</v>
      </c>
      <c r="I82" s="10">
        <v>796.1</v>
      </c>
      <c r="J82" s="10">
        <v>2630</v>
      </c>
      <c r="K82" s="10">
        <v>1873.3</v>
      </c>
      <c r="L82" s="10">
        <v>874.4</v>
      </c>
      <c r="M82" s="10">
        <v>1868.6</v>
      </c>
      <c r="N82" s="10">
        <v>2481.1</v>
      </c>
      <c r="O82" s="10">
        <v>4645.2</v>
      </c>
      <c r="P82" s="10">
        <v>1210.5999999999999</v>
      </c>
    </row>
    <row r="83" spans="2:16" s="8" customFormat="1" ht="34.9" hidden="1" customHeight="1">
      <c r="B83" s="14">
        <v>40238</v>
      </c>
      <c r="C83" s="7">
        <v>3029.3</v>
      </c>
      <c r="D83" s="6">
        <v>3589.6</v>
      </c>
      <c r="E83" s="6">
        <v>2718</v>
      </c>
      <c r="F83" s="6">
        <v>3928.5</v>
      </c>
      <c r="G83" s="6">
        <v>3142.4</v>
      </c>
      <c r="H83" s="7">
        <v>2100.1999999999998</v>
      </c>
      <c r="I83" s="6">
        <v>806.3</v>
      </c>
      <c r="J83" s="6">
        <v>2744</v>
      </c>
      <c r="K83" s="6">
        <v>1884.1</v>
      </c>
      <c r="L83" s="6">
        <v>911.2</v>
      </c>
      <c r="M83" s="6">
        <v>1859.5</v>
      </c>
      <c r="N83" s="6">
        <v>2699.8</v>
      </c>
      <c r="O83" s="6">
        <v>4635.1000000000004</v>
      </c>
      <c r="P83" s="6">
        <v>1441.8</v>
      </c>
    </row>
    <row r="84" spans="2:16" s="8" customFormat="1" ht="34.9" hidden="1" customHeight="1">
      <c r="B84" s="15">
        <v>40269</v>
      </c>
      <c r="C84" s="11">
        <v>3166.1</v>
      </c>
      <c r="D84" s="10">
        <v>3699</v>
      </c>
      <c r="E84" s="10">
        <v>2695</v>
      </c>
      <c r="F84" s="10">
        <v>4378.6000000000004</v>
      </c>
      <c r="G84" s="10">
        <v>3310.9</v>
      </c>
      <c r="H84" s="11">
        <v>2042.6</v>
      </c>
      <c r="I84" s="10">
        <v>802.5</v>
      </c>
      <c r="J84" s="10">
        <v>2538.9</v>
      </c>
      <c r="K84" s="10">
        <v>1788.3</v>
      </c>
      <c r="L84" s="10">
        <v>881.6</v>
      </c>
      <c r="M84" s="10">
        <v>1784</v>
      </c>
      <c r="N84" s="10">
        <v>2489.9</v>
      </c>
      <c r="O84" s="10">
        <v>4581.3999999999996</v>
      </c>
      <c r="P84" s="10">
        <v>1543.8</v>
      </c>
    </row>
    <row r="85" spans="2:16" s="8" customFormat="1" ht="34.9" hidden="1" customHeight="1">
      <c r="B85" s="14">
        <v>40299</v>
      </c>
      <c r="C85" s="7">
        <v>2947</v>
      </c>
      <c r="D85" s="6">
        <v>3625.4</v>
      </c>
      <c r="E85" s="6">
        <v>2606.1</v>
      </c>
      <c r="F85" s="6">
        <v>3689.6</v>
      </c>
      <c r="G85" s="6">
        <v>2728.8</v>
      </c>
      <c r="H85" s="7">
        <v>1969.1</v>
      </c>
      <c r="I85" s="6">
        <v>774.5</v>
      </c>
      <c r="J85" s="6">
        <v>2506.1999999999998</v>
      </c>
      <c r="K85" s="6">
        <v>1790.3</v>
      </c>
      <c r="L85" s="6">
        <v>793.4</v>
      </c>
      <c r="M85" s="6">
        <v>1697</v>
      </c>
      <c r="N85" s="6">
        <v>2531</v>
      </c>
      <c r="O85" s="6">
        <v>4489.2</v>
      </c>
      <c r="P85" s="6">
        <v>1330.3</v>
      </c>
    </row>
    <row r="86" spans="2:16" s="8" customFormat="1" ht="34.9" hidden="1" customHeight="1">
      <c r="B86" s="15">
        <v>40330</v>
      </c>
      <c r="C86" s="11">
        <v>2871.31</v>
      </c>
      <c r="D86" s="10">
        <v>3651.24</v>
      </c>
      <c r="E86" s="10">
        <v>2514.8000000000002</v>
      </c>
      <c r="F86" s="10">
        <v>3412.87</v>
      </c>
      <c r="G86" s="10">
        <v>2415.29</v>
      </c>
      <c r="H86" s="11">
        <v>1932.83</v>
      </c>
      <c r="I86" s="10">
        <v>834.47</v>
      </c>
      <c r="J86" s="10">
        <v>2486.46</v>
      </c>
      <c r="K86" s="10">
        <v>1707.71</v>
      </c>
      <c r="L86" s="10">
        <v>754.54</v>
      </c>
      <c r="M86" s="10">
        <v>1717.35</v>
      </c>
      <c r="N86" s="10">
        <v>2291.81</v>
      </c>
      <c r="O86" s="10">
        <v>4456.75</v>
      </c>
      <c r="P86" s="10">
        <v>1311.78</v>
      </c>
    </row>
    <row r="87" spans="2:16" s="8" customFormat="1" ht="34.9" hidden="1" customHeight="1">
      <c r="B87" s="14">
        <v>40360</v>
      </c>
      <c r="C87" s="7">
        <v>2875.98</v>
      </c>
      <c r="D87" s="6">
        <v>3635.08</v>
      </c>
      <c r="E87" s="6">
        <v>2455.6</v>
      </c>
      <c r="F87" s="6">
        <v>3439.28</v>
      </c>
      <c r="G87" s="6">
        <v>2504.64</v>
      </c>
      <c r="H87" s="7">
        <v>1944.52</v>
      </c>
      <c r="I87" s="6">
        <v>837.79</v>
      </c>
      <c r="J87" s="6">
        <v>2518.2199999999998</v>
      </c>
      <c r="K87" s="6">
        <v>1784.17</v>
      </c>
      <c r="L87" s="6">
        <v>763.67</v>
      </c>
      <c r="M87" s="6">
        <v>1724.79</v>
      </c>
      <c r="N87" s="6">
        <v>2314.7800000000002</v>
      </c>
      <c r="O87" s="6">
        <v>4384.66</v>
      </c>
      <c r="P87" s="6">
        <v>1340.42</v>
      </c>
    </row>
    <row r="88" spans="2:16" s="8" customFormat="1" ht="34.9" hidden="1" customHeight="1">
      <c r="B88" s="15">
        <v>40391</v>
      </c>
      <c r="C88" s="11">
        <v>2756.87</v>
      </c>
      <c r="D88" s="10">
        <v>3565.18</v>
      </c>
      <c r="E88" s="10">
        <v>2391.4499999999998</v>
      </c>
      <c r="F88" s="10">
        <v>3079.56</v>
      </c>
      <c r="G88" s="10">
        <v>2295.3200000000002</v>
      </c>
      <c r="H88" s="11">
        <v>1928.39</v>
      </c>
      <c r="I88" s="10">
        <v>842.48</v>
      </c>
      <c r="J88" s="10">
        <v>2461.59</v>
      </c>
      <c r="K88" s="10">
        <v>1796.19</v>
      </c>
      <c r="L88" s="10">
        <v>752.89</v>
      </c>
      <c r="M88" s="10">
        <v>1721.77</v>
      </c>
      <c r="N88" s="10">
        <v>2323.96</v>
      </c>
      <c r="O88" s="10">
        <v>4285.1499999999996</v>
      </c>
      <c r="P88" s="10">
        <v>1396.74</v>
      </c>
    </row>
    <row r="89" spans="2:16" s="8" customFormat="1" ht="34.9" hidden="1" customHeight="1">
      <c r="B89" s="14">
        <v>40422</v>
      </c>
      <c r="C89" s="7">
        <v>2818.4</v>
      </c>
      <c r="D89" s="6">
        <v>3619.7</v>
      </c>
      <c r="E89" s="6">
        <v>2342.9</v>
      </c>
      <c r="F89" s="6">
        <v>3203.4</v>
      </c>
      <c r="G89" s="6">
        <v>2427.8000000000002</v>
      </c>
      <c r="H89" s="7">
        <v>1967.2</v>
      </c>
      <c r="I89" s="6">
        <v>893.3</v>
      </c>
      <c r="J89" s="6">
        <v>2500.1999999999998</v>
      </c>
      <c r="K89" s="6">
        <v>1778.7</v>
      </c>
      <c r="L89" s="6">
        <v>825.2</v>
      </c>
      <c r="M89" s="6">
        <v>1755</v>
      </c>
      <c r="N89" s="6">
        <v>2321.6999999999998</v>
      </c>
      <c r="O89" s="6">
        <v>4354.8999999999996</v>
      </c>
      <c r="P89" s="6">
        <v>1414.9</v>
      </c>
    </row>
    <row r="90" spans="2:16" s="8" customFormat="1" ht="34.9" hidden="1" customHeight="1">
      <c r="B90" s="15">
        <v>40452</v>
      </c>
      <c r="C90" s="11">
        <v>2853.3</v>
      </c>
      <c r="D90" s="10">
        <v>3761.5</v>
      </c>
      <c r="E90" s="10">
        <v>2350.6999999999998</v>
      </c>
      <c r="F90" s="10">
        <v>3065.7</v>
      </c>
      <c r="G90" s="10">
        <v>2287.3000000000002</v>
      </c>
      <c r="H90" s="11">
        <v>1939.6</v>
      </c>
      <c r="I90" s="10">
        <v>927</v>
      </c>
      <c r="J90" s="10">
        <v>2566.1999999999998</v>
      </c>
      <c r="K90" s="10">
        <v>1668.2</v>
      </c>
      <c r="L90" s="10">
        <v>738.4</v>
      </c>
      <c r="M90" s="10">
        <v>1751.9</v>
      </c>
      <c r="N90" s="10">
        <v>2443.1999999999998</v>
      </c>
      <c r="O90" s="10">
        <v>4460.7</v>
      </c>
      <c r="P90" s="10">
        <v>1305.4000000000001</v>
      </c>
    </row>
    <row r="91" spans="2:16" s="8" customFormat="1" ht="34.9" hidden="1" customHeight="1">
      <c r="B91" s="14">
        <v>40483</v>
      </c>
      <c r="C91" s="7">
        <v>2884.2</v>
      </c>
      <c r="D91" s="6">
        <v>3869</v>
      </c>
      <c r="E91" s="6">
        <v>2265.1999999999998</v>
      </c>
      <c r="F91" s="6">
        <v>2894.7</v>
      </c>
      <c r="G91" s="6">
        <v>2305.6999999999998</v>
      </c>
      <c r="H91" s="7">
        <v>1922.3</v>
      </c>
      <c r="I91" s="6">
        <v>954.2</v>
      </c>
      <c r="J91" s="6">
        <v>2650</v>
      </c>
      <c r="K91" s="6">
        <v>1614.3</v>
      </c>
      <c r="L91" s="6">
        <v>758</v>
      </c>
      <c r="M91" s="6">
        <v>1780</v>
      </c>
      <c r="N91" s="6">
        <v>2623.3</v>
      </c>
      <c r="O91" s="6">
        <v>4422.6000000000004</v>
      </c>
      <c r="P91" s="6">
        <v>1104.9000000000001</v>
      </c>
    </row>
    <row r="92" spans="2:16" s="8" customFormat="1" ht="34.9" hidden="1" customHeight="1">
      <c r="B92" s="15">
        <v>40513</v>
      </c>
      <c r="C92" s="11">
        <v>2911.7</v>
      </c>
      <c r="D92" s="10">
        <v>3926.5</v>
      </c>
      <c r="E92" s="10">
        <v>2330.1</v>
      </c>
      <c r="F92" s="10">
        <v>2803.7</v>
      </c>
      <c r="G92" s="10">
        <v>2339.6</v>
      </c>
      <c r="H92" s="11">
        <v>1897.2</v>
      </c>
      <c r="I92" s="10">
        <v>949.2</v>
      </c>
      <c r="J92" s="10">
        <v>2636.3</v>
      </c>
      <c r="K92" s="10">
        <v>1602</v>
      </c>
      <c r="L92" s="10">
        <v>743</v>
      </c>
      <c r="M92" s="10">
        <v>1780.2</v>
      </c>
      <c r="N92" s="10">
        <v>2485.5</v>
      </c>
      <c r="O92" s="10">
        <v>4414.8</v>
      </c>
      <c r="P92" s="10">
        <v>1005.7</v>
      </c>
    </row>
    <row r="93" spans="2:16" s="8" customFormat="1" ht="34.9" hidden="1" customHeight="1">
      <c r="B93" s="3">
        <v>2011</v>
      </c>
      <c r="C93" s="13"/>
      <c r="D93" s="12"/>
      <c r="E93" s="12"/>
      <c r="F93" s="12"/>
      <c r="G93" s="12"/>
      <c r="H93" s="13"/>
      <c r="I93" s="12"/>
      <c r="J93" s="12"/>
      <c r="K93" s="12"/>
      <c r="L93" s="12"/>
      <c r="M93" s="12"/>
      <c r="N93" s="12"/>
      <c r="O93" s="12"/>
      <c r="P93" s="12"/>
    </row>
    <row r="94" spans="2:16" s="8" customFormat="1" ht="34.9" hidden="1" customHeight="1">
      <c r="B94" s="14">
        <v>40544</v>
      </c>
      <c r="C94" s="7">
        <v>2906</v>
      </c>
      <c r="D94" s="6">
        <v>3978.4</v>
      </c>
      <c r="E94" s="6">
        <v>2332.6999999999998</v>
      </c>
      <c r="F94" s="6">
        <v>2702.8</v>
      </c>
      <c r="G94" s="6">
        <v>2213.8000000000002</v>
      </c>
      <c r="H94" s="7">
        <v>1895.3</v>
      </c>
      <c r="I94" s="6">
        <v>934.3</v>
      </c>
      <c r="J94" s="6">
        <v>2555.5</v>
      </c>
      <c r="K94" s="6">
        <v>1546.5</v>
      </c>
      <c r="L94" s="6">
        <v>764.7</v>
      </c>
      <c r="M94" s="6">
        <v>1876.2</v>
      </c>
      <c r="N94" s="6">
        <v>2424.9</v>
      </c>
      <c r="O94" s="6">
        <v>4424.1000000000004</v>
      </c>
      <c r="P94" s="6">
        <v>967.2</v>
      </c>
    </row>
    <row r="95" spans="2:16" s="8" customFormat="1" ht="34.9" hidden="1" customHeight="1">
      <c r="B95" s="15">
        <v>40575</v>
      </c>
      <c r="C95" s="11">
        <v>2739.2</v>
      </c>
      <c r="D95" s="10">
        <v>3866.2</v>
      </c>
      <c r="E95" s="10">
        <v>2247.3000000000002</v>
      </c>
      <c r="F95" s="10">
        <v>2205.3000000000002</v>
      </c>
      <c r="G95" s="10">
        <v>1966.2</v>
      </c>
      <c r="H95" s="11">
        <v>1866.7</v>
      </c>
      <c r="I95" s="10">
        <v>924.9</v>
      </c>
      <c r="J95" s="10">
        <v>2556.9</v>
      </c>
      <c r="K95" s="10">
        <v>1548.8</v>
      </c>
      <c r="L95" s="10">
        <v>716.8</v>
      </c>
      <c r="M95" s="10">
        <v>1886.1</v>
      </c>
      <c r="N95" s="10">
        <v>2412</v>
      </c>
      <c r="O95" s="10">
        <v>4342.1000000000004</v>
      </c>
      <c r="P95" s="10">
        <v>927.3</v>
      </c>
    </row>
    <row r="96" spans="2:16" s="8" customFormat="1" ht="34.9" hidden="1" customHeight="1">
      <c r="B96" s="14">
        <v>40603</v>
      </c>
      <c r="C96" s="7">
        <v>2699.9</v>
      </c>
      <c r="D96" s="6">
        <v>3787.1</v>
      </c>
      <c r="E96" s="6">
        <v>2298.1999999999998</v>
      </c>
      <c r="F96" s="6">
        <v>2224.1</v>
      </c>
      <c r="G96" s="6">
        <v>1940.6</v>
      </c>
      <c r="H96" s="7">
        <v>1776.7</v>
      </c>
      <c r="I96" s="6">
        <v>863.9</v>
      </c>
      <c r="J96" s="6">
        <v>2661.9</v>
      </c>
      <c r="K96" s="6">
        <v>1475.5</v>
      </c>
      <c r="L96" s="6">
        <v>688.7</v>
      </c>
      <c r="M96" s="6">
        <v>1886.1</v>
      </c>
      <c r="N96" s="6">
        <v>2039.7</v>
      </c>
      <c r="O96" s="6">
        <v>3950.3</v>
      </c>
      <c r="P96" s="6">
        <v>923</v>
      </c>
    </row>
    <row r="97" spans="2:16" s="8" customFormat="1" ht="34.9" hidden="1" customHeight="1">
      <c r="B97" s="15">
        <v>40634</v>
      </c>
      <c r="C97" s="11">
        <v>2731.5</v>
      </c>
      <c r="D97" s="10">
        <v>3765.7</v>
      </c>
      <c r="E97" s="10">
        <v>2335.6</v>
      </c>
      <c r="F97" s="10">
        <v>2294.3000000000002</v>
      </c>
      <c r="G97" s="10">
        <v>2142.5</v>
      </c>
      <c r="H97" s="11">
        <v>1770.1</v>
      </c>
      <c r="I97" s="10">
        <v>871.9</v>
      </c>
      <c r="J97" s="10">
        <v>2594.8000000000002</v>
      </c>
      <c r="K97" s="10">
        <v>1503.2</v>
      </c>
      <c r="L97" s="10">
        <v>678.4</v>
      </c>
      <c r="M97" s="10">
        <v>1800.1</v>
      </c>
      <c r="N97" s="10">
        <v>1958.2</v>
      </c>
      <c r="O97" s="10">
        <v>3963.6</v>
      </c>
      <c r="P97" s="10">
        <v>1005.9</v>
      </c>
    </row>
    <row r="98" spans="2:16" s="8" customFormat="1" ht="34.9" hidden="1" customHeight="1">
      <c r="B98" s="14">
        <v>40664</v>
      </c>
      <c r="C98" s="7">
        <v>2740.9</v>
      </c>
      <c r="D98" s="6">
        <v>3795.7</v>
      </c>
      <c r="E98" s="6">
        <v>2337.1999999999998</v>
      </c>
      <c r="F98" s="6">
        <v>2263.8000000000002</v>
      </c>
      <c r="G98" s="6">
        <v>2127.5</v>
      </c>
      <c r="H98" s="7">
        <v>1718.9</v>
      </c>
      <c r="I98" s="6">
        <v>890.7</v>
      </c>
      <c r="J98" s="6">
        <v>2650.3</v>
      </c>
      <c r="K98" s="6">
        <v>1534.5</v>
      </c>
      <c r="L98" s="6">
        <v>662.3</v>
      </c>
      <c r="M98" s="6">
        <v>1747.1</v>
      </c>
      <c r="N98" s="6">
        <v>1802.8</v>
      </c>
      <c r="O98" s="6">
        <v>3624.9</v>
      </c>
      <c r="P98" s="6">
        <v>1057.3</v>
      </c>
    </row>
    <row r="99" spans="2:16" s="8" customFormat="1" ht="34.9" hidden="1" customHeight="1">
      <c r="B99" s="15">
        <v>40695</v>
      </c>
      <c r="C99" s="11">
        <v>2655</v>
      </c>
      <c r="D99" s="10">
        <v>3735</v>
      </c>
      <c r="E99" s="10">
        <v>2321.9</v>
      </c>
      <c r="F99" s="10">
        <v>1946.4</v>
      </c>
      <c r="G99" s="10">
        <v>2047.4</v>
      </c>
      <c r="H99" s="11">
        <v>1677.7</v>
      </c>
      <c r="I99" s="10">
        <v>932</v>
      </c>
      <c r="J99" s="10">
        <v>2603.9</v>
      </c>
      <c r="K99" s="10">
        <v>1502</v>
      </c>
      <c r="L99" s="10">
        <v>646</v>
      </c>
      <c r="M99" s="10">
        <v>1853</v>
      </c>
      <c r="N99" s="10">
        <v>1900.7</v>
      </c>
      <c r="O99" s="10">
        <v>3436.9</v>
      </c>
      <c r="P99" s="10">
        <v>924.9</v>
      </c>
    </row>
    <row r="100" spans="2:16" s="8" customFormat="1" ht="34.9" hidden="1" customHeight="1">
      <c r="B100" s="14">
        <v>40725</v>
      </c>
      <c r="C100" s="7">
        <v>2635.5</v>
      </c>
      <c r="D100" s="6">
        <v>3709.5</v>
      </c>
      <c r="E100" s="6">
        <v>2305.8000000000002</v>
      </c>
      <c r="F100" s="6">
        <v>1825.6</v>
      </c>
      <c r="G100" s="6">
        <v>2112.8000000000002</v>
      </c>
      <c r="H100" s="7">
        <v>1653.7</v>
      </c>
      <c r="I100" s="6">
        <v>899.6</v>
      </c>
      <c r="J100" s="6">
        <v>2535.6999999999998</v>
      </c>
      <c r="K100" s="6">
        <v>1495</v>
      </c>
      <c r="L100" s="6">
        <v>614.20000000000005</v>
      </c>
      <c r="M100" s="6">
        <v>1869.5</v>
      </c>
      <c r="N100" s="6">
        <v>1911.9</v>
      </c>
      <c r="O100" s="6">
        <v>3336.13</v>
      </c>
      <c r="P100" s="6">
        <v>1006.5</v>
      </c>
    </row>
    <row r="101" spans="2:16" s="8" customFormat="1" ht="34.9" hidden="1" customHeight="1">
      <c r="B101" s="15">
        <v>40756</v>
      </c>
      <c r="C101" s="11">
        <v>2608.1</v>
      </c>
      <c r="D101" s="10">
        <v>3666.9</v>
      </c>
      <c r="E101" s="10">
        <v>2379.1</v>
      </c>
      <c r="F101" s="10">
        <v>1846</v>
      </c>
      <c r="G101" s="10">
        <v>2033.2</v>
      </c>
      <c r="H101" s="11">
        <v>1608</v>
      </c>
      <c r="I101" s="10">
        <v>881.5</v>
      </c>
      <c r="J101" s="10">
        <v>2544</v>
      </c>
      <c r="K101" s="10">
        <v>1493.8</v>
      </c>
      <c r="L101" s="10">
        <v>550.20000000000005</v>
      </c>
      <c r="M101" s="10">
        <v>1853</v>
      </c>
      <c r="N101" s="10">
        <v>1670.3</v>
      </c>
      <c r="O101" s="10">
        <v>3173.7</v>
      </c>
      <c r="P101" s="10">
        <v>1094.8</v>
      </c>
    </row>
    <row r="102" spans="2:16" s="8" customFormat="1" ht="34.9" hidden="1" customHeight="1">
      <c r="B102" s="14">
        <v>40787</v>
      </c>
      <c r="C102" s="7">
        <v>2549</v>
      </c>
      <c r="D102" s="6">
        <v>3593.2</v>
      </c>
      <c r="E102" s="6">
        <v>2200.3000000000002</v>
      </c>
      <c r="F102" s="6">
        <v>1807.2</v>
      </c>
      <c r="G102" s="6">
        <v>1998.7</v>
      </c>
      <c r="H102" s="7">
        <v>1560.7</v>
      </c>
      <c r="I102" s="6">
        <v>862.8</v>
      </c>
      <c r="J102" s="6">
        <v>2494.6</v>
      </c>
      <c r="K102" s="6">
        <v>1465</v>
      </c>
      <c r="L102" s="6">
        <v>511</v>
      </c>
      <c r="M102" s="6">
        <v>1793.4</v>
      </c>
      <c r="N102" s="6">
        <v>1643.6</v>
      </c>
      <c r="O102" s="6">
        <v>3062.6</v>
      </c>
      <c r="P102" s="6">
        <v>1100.9000000000001</v>
      </c>
    </row>
    <row r="103" spans="2:16" s="8" customFormat="1" ht="34.9" hidden="1" customHeight="1">
      <c r="B103" s="15">
        <v>40817</v>
      </c>
      <c r="C103" s="11">
        <v>2519.8000000000002</v>
      </c>
      <c r="D103" s="10">
        <v>3542.7</v>
      </c>
      <c r="E103" s="10">
        <v>2133.4</v>
      </c>
      <c r="F103" s="10">
        <v>1758.3</v>
      </c>
      <c r="G103" s="10">
        <v>2046.4</v>
      </c>
      <c r="H103" s="11">
        <v>1654.2</v>
      </c>
      <c r="I103" s="10">
        <v>870.3</v>
      </c>
      <c r="J103" s="10">
        <v>2514.1999999999998</v>
      </c>
      <c r="K103" s="10">
        <v>1435.8</v>
      </c>
      <c r="L103" s="10">
        <v>486.2</v>
      </c>
      <c r="M103" s="10">
        <v>1819.9</v>
      </c>
      <c r="N103" s="10">
        <v>1421.1</v>
      </c>
      <c r="O103" s="10">
        <v>3772.5</v>
      </c>
      <c r="P103" s="10">
        <v>1029.5999999999999</v>
      </c>
    </row>
    <row r="104" spans="2:16" s="8" customFormat="1" ht="34.9" hidden="1" customHeight="1">
      <c r="B104" s="14">
        <v>40848</v>
      </c>
      <c r="C104" s="7">
        <v>2439.3000000000002</v>
      </c>
      <c r="D104" s="6">
        <v>3443.3</v>
      </c>
      <c r="E104" s="6">
        <v>2088.4</v>
      </c>
      <c r="F104" s="6">
        <v>1628.2</v>
      </c>
      <c r="G104" s="6">
        <v>1980.7</v>
      </c>
      <c r="H104" s="7">
        <v>1635.6</v>
      </c>
      <c r="I104" s="6">
        <v>842.1</v>
      </c>
      <c r="J104" s="6">
        <v>2538.8000000000002</v>
      </c>
      <c r="K104" s="6">
        <v>1398.2</v>
      </c>
      <c r="L104" s="6">
        <v>458.3</v>
      </c>
      <c r="M104" s="6">
        <v>1806.7</v>
      </c>
      <c r="N104" s="6">
        <v>1471.2</v>
      </c>
      <c r="O104" s="6">
        <v>3789.6</v>
      </c>
      <c r="P104" s="6">
        <v>948.3</v>
      </c>
    </row>
    <row r="105" spans="2:16" s="8" customFormat="1" ht="34.9" hidden="1" customHeight="1">
      <c r="B105" s="15">
        <v>40878</v>
      </c>
      <c r="C105" s="11">
        <v>2443.9</v>
      </c>
      <c r="D105" s="10">
        <v>3475.3</v>
      </c>
      <c r="E105" s="10">
        <v>2089.8000000000002</v>
      </c>
      <c r="F105" s="10">
        <v>1580.7</v>
      </c>
      <c r="G105" s="10">
        <v>1939.5</v>
      </c>
      <c r="H105" s="11">
        <v>1693.7</v>
      </c>
      <c r="I105" s="10">
        <v>873.8</v>
      </c>
      <c r="J105" s="10">
        <v>2619.1</v>
      </c>
      <c r="K105" s="10">
        <v>1409.4</v>
      </c>
      <c r="L105" s="10">
        <v>445.2</v>
      </c>
      <c r="M105" s="10">
        <v>1829.8</v>
      </c>
      <c r="N105" s="10">
        <v>1556.2</v>
      </c>
      <c r="O105" s="10">
        <v>4075.1</v>
      </c>
      <c r="P105" s="10">
        <v>944.9</v>
      </c>
    </row>
    <row r="106" spans="2:16" s="8" customFormat="1" ht="34.9" hidden="1" customHeight="1">
      <c r="B106" s="3">
        <v>2012</v>
      </c>
      <c r="C106" s="13"/>
      <c r="D106" s="12"/>
      <c r="E106" s="12"/>
      <c r="F106" s="12"/>
      <c r="G106" s="12"/>
      <c r="H106" s="13"/>
      <c r="I106" s="12"/>
      <c r="J106" s="12"/>
      <c r="K106" s="12"/>
      <c r="L106" s="12"/>
      <c r="M106" s="12"/>
      <c r="N106" s="12"/>
      <c r="O106" s="12"/>
      <c r="P106" s="12"/>
    </row>
    <row r="107" spans="2:16" s="8" customFormat="1" ht="34.9" hidden="1" customHeight="1">
      <c r="B107" s="14">
        <v>40909</v>
      </c>
      <c r="C107" s="7">
        <v>2384.1</v>
      </c>
      <c r="D107" s="6">
        <v>3364.4</v>
      </c>
      <c r="E107" s="6">
        <v>2065.4</v>
      </c>
      <c r="F107" s="6">
        <v>1626.9</v>
      </c>
      <c r="G107" s="6">
        <v>1901.1</v>
      </c>
      <c r="H107" s="7">
        <v>1660.8</v>
      </c>
      <c r="I107" s="6">
        <v>867.5</v>
      </c>
      <c r="J107" s="6">
        <v>2620.1</v>
      </c>
      <c r="K107" s="6">
        <v>1310.3</v>
      </c>
      <c r="L107" s="6">
        <v>449.4</v>
      </c>
      <c r="M107" s="6">
        <v>1833.1</v>
      </c>
      <c r="N107" s="6">
        <v>1438.4</v>
      </c>
      <c r="O107" s="6">
        <v>3982.8</v>
      </c>
      <c r="P107" s="6">
        <v>972.1</v>
      </c>
    </row>
    <row r="108" spans="2:16" s="8" customFormat="1" ht="34.9" hidden="1" customHeight="1">
      <c r="B108" s="15">
        <v>40940</v>
      </c>
      <c r="C108" s="11">
        <v>2412.3000000000002</v>
      </c>
      <c r="D108" s="10">
        <v>3448.2</v>
      </c>
      <c r="E108" s="10">
        <v>2029.6</v>
      </c>
      <c r="F108" s="10">
        <v>1659.3</v>
      </c>
      <c r="G108" s="10">
        <v>1781.3</v>
      </c>
      <c r="H108" s="11">
        <v>1636.4</v>
      </c>
      <c r="I108" s="10">
        <v>914.6</v>
      </c>
      <c r="J108" s="10">
        <v>2680.1</v>
      </c>
      <c r="K108" s="10">
        <v>1298.7</v>
      </c>
      <c r="L108" s="10">
        <v>425.7</v>
      </c>
      <c r="M108" s="10">
        <v>1846.4</v>
      </c>
      <c r="N108" s="10">
        <v>1294.5</v>
      </c>
      <c r="O108" s="10">
        <v>3885.7</v>
      </c>
      <c r="P108" s="10">
        <v>912.6</v>
      </c>
    </row>
    <row r="109" spans="2:16" s="8" customFormat="1" ht="34.9" hidden="1" customHeight="1">
      <c r="B109" s="14">
        <v>40969</v>
      </c>
      <c r="C109" s="7">
        <v>2445.4</v>
      </c>
      <c r="D109" s="6">
        <v>3501.4</v>
      </c>
      <c r="E109" s="6">
        <v>2071</v>
      </c>
      <c r="F109" s="6">
        <v>1694.3</v>
      </c>
      <c r="G109" s="6">
        <v>1769</v>
      </c>
      <c r="H109" s="7">
        <v>1675.4</v>
      </c>
      <c r="I109" s="6">
        <v>943.4</v>
      </c>
      <c r="J109" s="6">
        <v>2697.4</v>
      </c>
      <c r="K109" s="6">
        <v>1349.8</v>
      </c>
      <c r="L109" s="6">
        <v>440.6</v>
      </c>
      <c r="M109" s="6">
        <v>1876.2</v>
      </c>
      <c r="N109" s="6">
        <v>1238.9000000000001</v>
      </c>
      <c r="O109" s="6">
        <v>4018.5</v>
      </c>
      <c r="P109" s="6">
        <v>906.5</v>
      </c>
    </row>
    <row r="110" spans="2:16" s="8" customFormat="1" ht="34.9" hidden="1" customHeight="1">
      <c r="B110" s="15">
        <v>41000</v>
      </c>
      <c r="C110" s="11">
        <v>2468.1</v>
      </c>
      <c r="D110" s="10">
        <v>3526.8</v>
      </c>
      <c r="E110" s="10">
        <v>2062.5</v>
      </c>
      <c r="F110" s="10">
        <v>1753.1</v>
      </c>
      <c r="G110" s="10">
        <v>1788.4</v>
      </c>
      <c r="H110" s="11">
        <v>1621.3</v>
      </c>
      <c r="I110" s="10">
        <v>947</v>
      </c>
      <c r="J110" s="10">
        <v>2632.1</v>
      </c>
      <c r="K110" s="10">
        <v>1345.7</v>
      </c>
      <c r="L110" s="10">
        <v>458.3</v>
      </c>
      <c r="M110" s="10">
        <v>1793.4</v>
      </c>
      <c r="N110" s="10">
        <v>1065.8</v>
      </c>
      <c r="O110" s="10">
        <v>3791.9</v>
      </c>
      <c r="P110" s="10">
        <v>917.3</v>
      </c>
    </row>
    <row r="111" spans="2:16" s="8" customFormat="1" ht="34.9" hidden="1" customHeight="1">
      <c r="B111" s="14">
        <v>41030</v>
      </c>
      <c r="C111" s="7">
        <v>2322</v>
      </c>
      <c r="D111" s="6">
        <v>3324.2</v>
      </c>
      <c r="E111" s="6">
        <v>2007.3</v>
      </c>
      <c r="F111" s="6">
        <v>1594.5</v>
      </c>
      <c r="G111" s="6">
        <v>1676</v>
      </c>
      <c r="H111" s="7">
        <v>1547.6</v>
      </c>
      <c r="I111" s="6">
        <v>910.6</v>
      </c>
      <c r="J111" s="6">
        <v>2669.6</v>
      </c>
      <c r="K111" s="6">
        <v>1275.2</v>
      </c>
      <c r="L111" s="6">
        <v>431.7</v>
      </c>
      <c r="M111" s="6">
        <v>1674.3</v>
      </c>
      <c r="N111" s="6">
        <v>982.9</v>
      </c>
      <c r="O111" s="6">
        <v>3584.5</v>
      </c>
      <c r="P111" s="6">
        <v>876.4</v>
      </c>
    </row>
    <row r="112" spans="2:16" s="8" customFormat="1" ht="34.9" hidden="1" customHeight="1">
      <c r="B112" s="15">
        <v>41061</v>
      </c>
      <c r="C112" s="11">
        <v>2333.1999999999998</v>
      </c>
      <c r="D112" s="10">
        <v>3339.1</v>
      </c>
      <c r="E112" s="10">
        <v>2028.4</v>
      </c>
      <c r="F112" s="10">
        <v>1572.3</v>
      </c>
      <c r="G112" s="10">
        <v>1708.4</v>
      </c>
      <c r="H112" s="11">
        <v>1558.6</v>
      </c>
      <c r="I112" s="10">
        <v>908.7</v>
      </c>
      <c r="J112" s="10">
        <v>2728.1</v>
      </c>
      <c r="K112" s="10">
        <v>1286.8</v>
      </c>
      <c r="L112" s="10">
        <v>425.7</v>
      </c>
      <c r="M112" s="10">
        <v>1657.8</v>
      </c>
      <c r="N112" s="10">
        <v>1104.2</v>
      </c>
      <c r="O112" s="10">
        <v>3623.9</v>
      </c>
      <c r="P112" s="10">
        <v>844</v>
      </c>
    </row>
    <row r="113" spans="2:16" s="8" customFormat="1" ht="34.9" hidden="1" customHeight="1">
      <c r="B113" s="14">
        <v>41091</v>
      </c>
      <c r="C113" s="7">
        <v>2287</v>
      </c>
      <c r="D113" s="6">
        <v>3272.9</v>
      </c>
      <c r="E113" s="6">
        <v>1979.9</v>
      </c>
      <c r="F113" s="6">
        <v>1565.9</v>
      </c>
      <c r="G113" s="6">
        <v>1657.3</v>
      </c>
      <c r="H113" s="7">
        <v>1531.3</v>
      </c>
      <c r="I113" s="6">
        <v>898.8</v>
      </c>
      <c r="J113" s="6">
        <v>2715.9</v>
      </c>
      <c r="K113" s="6">
        <v>1284.2</v>
      </c>
      <c r="L113" s="6">
        <v>431.3</v>
      </c>
      <c r="M113" s="6">
        <v>1654.5</v>
      </c>
      <c r="N113" s="6">
        <v>1041.0999999999999</v>
      </c>
      <c r="O113" s="6">
        <v>3503</v>
      </c>
      <c r="P113" s="6">
        <v>785.6</v>
      </c>
    </row>
    <row r="114" spans="2:16" s="8" customFormat="1" ht="34.9" hidden="1" customHeight="1">
      <c r="B114" s="15">
        <v>41122</v>
      </c>
      <c r="C114" s="11">
        <v>2358.9</v>
      </c>
      <c r="D114" s="10">
        <v>3408.4</v>
      </c>
      <c r="E114" s="10">
        <v>1927.4</v>
      </c>
      <c r="F114" s="10">
        <v>1545</v>
      </c>
      <c r="G114" s="10">
        <v>1693.8</v>
      </c>
      <c r="H114" s="11">
        <v>1557.3</v>
      </c>
      <c r="I114" s="10">
        <v>898.6</v>
      </c>
      <c r="J114" s="10">
        <v>2791.4</v>
      </c>
      <c r="K114" s="10">
        <v>1284.7</v>
      </c>
      <c r="L114" s="10">
        <v>421.7</v>
      </c>
      <c r="M114" s="10">
        <v>1644.5</v>
      </c>
      <c r="N114" s="10">
        <v>831.2</v>
      </c>
      <c r="O114" s="10">
        <v>3680</v>
      </c>
      <c r="P114" s="10">
        <v>808.1</v>
      </c>
    </row>
    <row r="115" spans="2:16" s="8" customFormat="1" ht="34.9" hidden="1" customHeight="1">
      <c r="B115" s="14">
        <v>41153</v>
      </c>
      <c r="C115" s="7">
        <v>2320.1</v>
      </c>
      <c r="D115" s="6">
        <v>3362.7</v>
      </c>
      <c r="E115" s="6">
        <v>1958.3</v>
      </c>
      <c r="F115" s="6">
        <v>1502.4</v>
      </c>
      <c r="G115" s="6">
        <v>1613.4</v>
      </c>
      <c r="H115" s="7">
        <v>1567.5</v>
      </c>
      <c r="I115" s="6">
        <v>859.2</v>
      </c>
      <c r="J115" s="6">
        <v>2854.1</v>
      </c>
      <c r="K115" s="6">
        <v>1300.4000000000001</v>
      </c>
      <c r="L115" s="6">
        <v>426.3</v>
      </c>
      <c r="M115" s="6">
        <v>1647.8</v>
      </c>
      <c r="N115" s="6">
        <v>918.5</v>
      </c>
      <c r="O115" s="6">
        <v>3699.3</v>
      </c>
      <c r="P115" s="6">
        <v>757.2</v>
      </c>
    </row>
    <row r="116" spans="2:16" s="8" customFormat="1" ht="34.9" hidden="1" customHeight="1">
      <c r="B116" s="15">
        <v>41183</v>
      </c>
      <c r="C116" s="11">
        <v>2307.8000000000002</v>
      </c>
      <c r="D116" s="10">
        <v>3332.5</v>
      </c>
      <c r="E116" s="10">
        <v>1908</v>
      </c>
      <c r="F116" s="10">
        <v>1512.2</v>
      </c>
      <c r="G116" s="10">
        <v>1655</v>
      </c>
      <c r="H116" s="11">
        <v>1632.5</v>
      </c>
      <c r="I116" s="10">
        <v>857.6</v>
      </c>
      <c r="J116" s="10">
        <v>2890.5</v>
      </c>
      <c r="K116" s="10">
        <v>1273.8</v>
      </c>
      <c r="L116" s="10">
        <v>464</v>
      </c>
      <c r="M116" s="10">
        <v>1753.7</v>
      </c>
      <c r="N116" s="10">
        <v>854.3</v>
      </c>
      <c r="O116" s="10">
        <v>3979</v>
      </c>
      <c r="P116" s="10">
        <v>769.2</v>
      </c>
    </row>
    <row r="117" spans="2:16" s="8" customFormat="1" ht="34.9" hidden="1" customHeight="1">
      <c r="B117" s="14">
        <v>41214</v>
      </c>
      <c r="C117" s="7">
        <v>2320.4</v>
      </c>
      <c r="D117" s="6">
        <v>3323.27</v>
      </c>
      <c r="E117" s="6">
        <v>1884.3</v>
      </c>
      <c r="F117" s="6">
        <v>1604.1</v>
      </c>
      <c r="G117" s="6">
        <v>1713.7</v>
      </c>
      <c r="H117" s="7">
        <v>1621</v>
      </c>
      <c r="I117" s="6">
        <v>902.7</v>
      </c>
      <c r="J117" s="6">
        <v>2877.3</v>
      </c>
      <c r="K117" s="6">
        <v>1277.0999999999999</v>
      </c>
      <c r="L117" s="6">
        <v>456.6</v>
      </c>
      <c r="M117" s="6">
        <v>1747.1</v>
      </c>
      <c r="N117" s="6">
        <v>834.9</v>
      </c>
      <c r="O117" s="6">
        <v>3929.3</v>
      </c>
      <c r="P117" s="6">
        <v>749.3</v>
      </c>
    </row>
    <row r="118" spans="2:16" s="8" customFormat="1" ht="34.9" hidden="1" customHeight="1">
      <c r="B118" s="15">
        <v>41244</v>
      </c>
      <c r="C118" s="11">
        <v>2363.6</v>
      </c>
      <c r="D118" s="10">
        <v>3407.64</v>
      </c>
      <c r="E118" s="10">
        <v>1887.2</v>
      </c>
      <c r="F118" s="10">
        <v>1653</v>
      </c>
      <c r="G118" s="10">
        <v>1658.8</v>
      </c>
      <c r="H118" s="11">
        <v>1651.1</v>
      </c>
      <c r="I118" s="10">
        <v>900</v>
      </c>
      <c r="J118" s="10">
        <v>2952.3</v>
      </c>
      <c r="K118" s="10">
        <v>1294.3</v>
      </c>
      <c r="L118" s="10">
        <v>467</v>
      </c>
      <c r="M118" s="10">
        <v>1753.7</v>
      </c>
      <c r="N118" s="10">
        <v>856.8</v>
      </c>
      <c r="O118" s="10">
        <v>4017.9</v>
      </c>
      <c r="P118" s="10">
        <v>770</v>
      </c>
    </row>
    <row r="119" spans="2:16" s="8" customFormat="1" ht="34.9" hidden="1" customHeight="1">
      <c r="B119" s="3">
        <v>2013</v>
      </c>
      <c r="C119" s="13"/>
      <c r="D119" s="12"/>
      <c r="E119" s="12"/>
      <c r="F119" s="12"/>
      <c r="G119" s="12"/>
      <c r="H119" s="13"/>
      <c r="I119" s="12"/>
      <c r="J119" s="12"/>
      <c r="K119" s="12"/>
      <c r="L119" s="12"/>
      <c r="M119" s="12"/>
      <c r="N119" s="12"/>
      <c r="O119" s="12"/>
      <c r="P119" s="12"/>
    </row>
    <row r="120" spans="2:16" s="8" customFormat="1" ht="34.9" hidden="1" customHeight="1">
      <c r="B120" s="14">
        <v>41275</v>
      </c>
      <c r="C120" s="7">
        <v>2481.8000000000002</v>
      </c>
      <c r="D120" s="6">
        <v>3567.8</v>
      </c>
      <c r="E120" s="6">
        <v>1858.1</v>
      </c>
      <c r="F120" s="6">
        <v>1764.7</v>
      </c>
      <c r="G120" s="6">
        <v>1808.9</v>
      </c>
      <c r="H120" s="7">
        <v>1673.9</v>
      </c>
      <c r="I120" s="6">
        <v>921.7</v>
      </c>
      <c r="J120" s="6">
        <v>3151.4</v>
      </c>
      <c r="K120" s="6">
        <v>1261</v>
      </c>
      <c r="L120" s="6">
        <v>502.5</v>
      </c>
      <c r="M120" s="6">
        <v>1770.3</v>
      </c>
      <c r="N120" s="6">
        <v>791.9</v>
      </c>
      <c r="O120" s="6">
        <v>4030.6</v>
      </c>
      <c r="P120" s="6">
        <v>762.6</v>
      </c>
    </row>
    <row r="121" spans="2:16" s="8" customFormat="1" ht="34.9" hidden="1" customHeight="1">
      <c r="B121" s="15">
        <v>41306</v>
      </c>
      <c r="C121" s="11">
        <v>2507</v>
      </c>
      <c r="D121" s="10">
        <v>3575.5</v>
      </c>
      <c r="E121" s="10">
        <v>1857.3</v>
      </c>
      <c r="F121" s="10">
        <v>1846.1</v>
      </c>
      <c r="G121" s="10">
        <v>1890.4</v>
      </c>
      <c r="H121" s="11">
        <v>1685.7</v>
      </c>
      <c r="I121" s="10">
        <v>928.6</v>
      </c>
      <c r="J121" s="10">
        <v>3202.2</v>
      </c>
      <c r="K121" s="10">
        <v>1248.0999999999999</v>
      </c>
      <c r="L121" s="10">
        <v>509.8</v>
      </c>
      <c r="M121" s="10">
        <v>1753.7</v>
      </c>
      <c r="N121" s="10">
        <v>628.5</v>
      </c>
      <c r="O121" s="10">
        <v>4066.4</v>
      </c>
      <c r="P121" s="10">
        <v>864.4</v>
      </c>
    </row>
    <row r="122" spans="2:16" s="8" customFormat="1" ht="34.9" hidden="1" customHeight="1">
      <c r="B122" s="14">
        <v>41334</v>
      </c>
      <c r="C122" s="7">
        <v>2589.6</v>
      </c>
      <c r="D122" s="6">
        <v>3460.7</v>
      </c>
      <c r="E122" s="6">
        <v>1855.8</v>
      </c>
      <c r="F122" s="6">
        <v>2408.6999999999998</v>
      </c>
      <c r="G122" s="6">
        <v>2445</v>
      </c>
      <c r="H122" s="7">
        <v>1711.5</v>
      </c>
      <c r="I122" s="6">
        <v>902.7</v>
      </c>
      <c r="J122" s="6">
        <v>3205.2</v>
      </c>
      <c r="K122" s="6">
        <v>1232.2</v>
      </c>
      <c r="L122" s="6">
        <v>540.6</v>
      </c>
      <c r="M122" s="6">
        <v>1776.9</v>
      </c>
      <c r="N122" s="6">
        <v>727.1</v>
      </c>
      <c r="O122" s="6">
        <v>4156.1000000000004</v>
      </c>
      <c r="P122" s="6">
        <v>873.3</v>
      </c>
    </row>
    <row r="123" spans="2:16" s="8" customFormat="1" ht="34.9" hidden="1" customHeight="1">
      <c r="B123" s="15">
        <v>41365</v>
      </c>
      <c r="C123" s="11">
        <v>2441.9</v>
      </c>
      <c r="D123" s="10">
        <v>3357.1</v>
      </c>
      <c r="E123" s="10">
        <v>1788.1</v>
      </c>
      <c r="F123" s="10">
        <v>1986.5</v>
      </c>
      <c r="G123" s="10">
        <v>2172.3000000000002</v>
      </c>
      <c r="H123" s="11">
        <v>1633.6</v>
      </c>
      <c r="I123" s="10">
        <v>868.1</v>
      </c>
      <c r="J123" s="10">
        <v>3084</v>
      </c>
      <c r="K123" s="10">
        <v>1245.2</v>
      </c>
      <c r="L123" s="10">
        <v>498.3</v>
      </c>
      <c r="M123" s="10">
        <v>1651.1</v>
      </c>
      <c r="N123" s="10">
        <v>751.5</v>
      </c>
      <c r="O123" s="10">
        <v>3929.3</v>
      </c>
      <c r="P123" s="10">
        <v>799.5</v>
      </c>
    </row>
    <row r="124" spans="2:16" s="8" customFormat="1" ht="34.9" hidden="1" customHeight="1">
      <c r="B124" s="14">
        <v>41395</v>
      </c>
      <c r="C124" s="7">
        <v>2469.9</v>
      </c>
      <c r="D124" s="6">
        <v>3419.6</v>
      </c>
      <c r="E124" s="6">
        <v>1770.7</v>
      </c>
      <c r="F124" s="6">
        <v>1964.5</v>
      </c>
      <c r="G124" s="6">
        <v>2159.6</v>
      </c>
      <c r="H124" s="7">
        <v>1632.3</v>
      </c>
      <c r="I124" s="6">
        <v>891.3</v>
      </c>
      <c r="J124" s="6">
        <v>3017.7</v>
      </c>
      <c r="K124" s="6">
        <v>1199.9000000000001</v>
      </c>
      <c r="L124" s="6">
        <v>505.8</v>
      </c>
      <c r="M124" s="6">
        <v>1621.4</v>
      </c>
      <c r="N124" s="6">
        <v>714.5</v>
      </c>
      <c r="O124" s="6">
        <v>4029.9</v>
      </c>
      <c r="P124" s="6">
        <v>817.5</v>
      </c>
    </row>
    <row r="125" spans="2:16" s="8" customFormat="1" ht="34.9" hidden="1" customHeight="1">
      <c r="B125" s="15">
        <v>41426</v>
      </c>
      <c r="C125" s="11">
        <v>2440.6</v>
      </c>
      <c r="D125" s="10">
        <v>3399.1</v>
      </c>
      <c r="E125" s="10">
        <v>1770.1</v>
      </c>
      <c r="F125" s="10">
        <v>1844.9</v>
      </c>
      <c r="G125" s="10">
        <v>2132.8000000000002</v>
      </c>
      <c r="H125" s="11">
        <v>1606.1</v>
      </c>
      <c r="I125" s="10">
        <v>908</v>
      </c>
      <c r="J125" s="10">
        <v>3073.1</v>
      </c>
      <c r="K125" s="10">
        <v>1175.0999999999999</v>
      </c>
      <c r="L125" s="10">
        <v>479.3</v>
      </c>
      <c r="M125" s="10">
        <v>1449.3</v>
      </c>
      <c r="N125" s="10">
        <v>730.1</v>
      </c>
      <c r="O125" s="10">
        <v>4039.9</v>
      </c>
      <c r="P125" s="10">
        <v>823.5</v>
      </c>
    </row>
    <row r="126" spans="2:16" s="8" customFormat="1" ht="34.9" hidden="1" customHeight="1">
      <c r="B126" s="14">
        <v>41456</v>
      </c>
      <c r="C126" s="7">
        <v>2440.3000000000002</v>
      </c>
      <c r="D126" s="6">
        <v>3441.6</v>
      </c>
      <c r="E126" s="6">
        <v>1757.6</v>
      </c>
      <c r="F126" s="6">
        <v>1805.3</v>
      </c>
      <c r="G126" s="6">
        <v>1997.2</v>
      </c>
      <c r="H126" s="7">
        <v>1557.7</v>
      </c>
      <c r="I126" s="6">
        <v>853.7</v>
      </c>
      <c r="J126" s="6">
        <v>3048.4</v>
      </c>
      <c r="K126" s="6">
        <v>1197.7</v>
      </c>
      <c r="L126" s="6">
        <v>466.2</v>
      </c>
      <c r="M126" s="6">
        <v>1151.5</v>
      </c>
      <c r="N126" s="6">
        <v>632.1</v>
      </c>
      <c r="O126" s="6">
        <v>4021</v>
      </c>
      <c r="P126" s="6">
        <v>821.5</v>
      </c>
    </row>
    <row r="127" spans="2:16" s="8" customFormat="1" ht="34.9" hidden="1" customHeight="1">
      <c r="B127" s="15">
        <v>41487</v>
      </c>
      <c r="C127" s="11">
        <v>2393.1</v>
      </c>
      <c r="D127" s="10">
        <v>2420.1999999999998</v>
      </c>
      <c r="E127" s="10">
        <v>1726.1</v>
      </c>
      <c r="F127" s="10">
        <v>1779.1</v>
      </c>
      <c r="G127" s="10">
        <v>1835.7</v>
      </c>
      <c r="H127" s="11">
        <v>1488.8</v>
      </c>
      <c r="I127" s="10">
        <v>880</v>
      </c>
      <c r="J127" s="10">
        <v>3135</v>
      </c>
      <c r="K127" s="10">
        <v>1159.2</v>
      </c>
      <c r="L127" s="10">
        <v>436.4</v>
      </c>
      <c r="M127" s="10">
        <v>982.8</v>
      </c>
      <c r="N127" s="10">
        <v>584.4</v>
      </c>
      <c r="O127" s="10">
        <v>3773.7</v>
      </c>
      <c r="P127" s="10">
        <v>820.2</v>
      </c>
    </row>
    <row r="128" spans="2:16" s="8" customFormat="1" ht="34.9" hidden="1" customHeight="1">
      <c r="B128" s="14">
        <v>41518</v>
      </c>
      <c r="C128" s="7">
        <v>2413.4</v>
      </c>
      <c r="D128" s="6">
        <v>3417.9</v>
      </c>
      <c r="E128" s="6">
        <v>1735.7</v>
      </c>
      <c r="F128" s="6">
        <v>1765.6</v>
      </c>
      <c r="G128" s="6">
        <v>1935.9</v>
      </c>
      <c r="H128" s="7">
        <v>1542.4</v>
      </c>
      <c r="I128" s="6">
        <v>900.3</v>
      </c>
      <c r="J128" s="6">
        <v>3339.1</v>
      </c>
      <c r="K128" s="6">
        <v>1179.4000000000001</v>
      </c>
      <c r="L128" s="6">
        <v>447.1</v>
      </c>
      <c r="M128" s="6">
        <v>1101.9000000000001</v>
      </c>
      <c r="N128" s="6">
        <v>632.79999999999995</v>
      </c>
      <c r="O128" s="6">
        <v>3810.6</v>
      </c>
      <c r="P128" s="6">
        <v>865.7</v>
      </c>
    </row>
    <row r="129" spans="2:16" s="8" customFormat="1" ht="34.9" hidden="1" customHeight="1">
      <c r="B129" s="15">
        <v>41548</v>
      </c>
      <c r="C129" s="11">
        <v>2542.5</v>
      </c>
      <c r="D129" s="10">
        <v>3644.76</v>
      </c>
      <c r="E129" s="10">
        <v>1789.98</v>
      </c>
      <c r="F129" s="10">
        <v>1800.88</v>
      </c>
      <c r="G129" s="10">
        <v>1929.32</v>
      </c>
      <c r="H129" s="11">
        <v>1597.83</v>
      </c>
      <c r="I129" s="10">
        <v>928.75</v>
      </c>
      <c r="J129" s="10">
        <v>3360.99</v>
      </c>
      <c r="K129" s="10">
        <v>1191.83</v>
      </c>
      <c r="L129" s="10">
        <v>442.53</v>
      </c>
      <c r="M129" s="10">
        <v>1125.03</v>
      </c>
      <c r="N129" s="10">
        <v>632.49</v>
      </c>
      <c r="O129" s="10">
        <v>4108.84</v>
      </c>
      <c r="P129" s="10">
        <v>891.2</v>
      </c>
    </row>
    <row r="130" spans="2:16" s="8" customFormat="1" ht="34.9" hidden="1" customHeight="1">
      <c r="B130" s="14">
        <v>41579</v>
      </c>
      <c r="C130" s="7">
        <v>2648.54</v>
      </c>
      <c r="D130" s="6">
        <v>3812.24</v>
      </c>
      <c r="E130" s="6">
        <v>1769.53</v>
      </c>
      <c r="F130" s="6">
        <v>1916.65</v>
      </c>
      <c r="G130" s="6">
        <v>1955.85</v>
      </c>
      <c r="H130" s="7">
        <v>1607.82</v>
      </c>
      <c r="I130" s="6">
        <v>942.69</v>
      </c>
      <c r="J130" s="6">
        <v>3421.22</v>
      </c>
      <c r="K130" s="6">
        <v>1186.46</v>
      </c>
      <c r="L130" s="6">
        <v>453.98</v>
      </c>
      <c r="M130" s="6">
        <v>1101.8699999999999</v>
      </c>
      <c r="N130" s="6">
        <v>608.44000000000005</v>
      </c>
      <c r="O130" s="6">
        <v>4146.09</v>
      </c>
      <c r="P130" s="6">
        <v>891.34</v>
      </c>
    </row>
    <row r="131" spans="2:16" s="8" customFormat="1" ht="34.9" hidden="1" customHeight="1">
      <c r="B131" s="15">
        <v>41609</v>
      </c>
      <c r="C131" s="11">
        <v>2703.9</v>
      </c>
      <c r="D131" s="10">
        <v>3888.8</v>
      </c>
      <c r="E131" s="10">
        <v>1793.2</v>
      </c>
      <c r="F131" s="10">
        <v>1944.2</v>
      </c>
      <c r="G131" s="10">
        <v>2026.2</v>
      </c>
      <c r="H131" s="11">
        <v>1664.8</v>
      </c>
      <c r="I131" s="10">
        <v>962.7</v>
      </c>
      <c r="J131" s="10">
        <v>3586.5</v>
      </c>
      <c r="K131" s="10">
        <v>1218.5</v>
      </c>
      <c r="L131" s="10">
        <v>451.9</v>
      </c>
      <c r="M131" s="10">
        <v>1356.7</v>
      </c>
      <c r="N131" s="10">
        <v>607.70000000000005</v>
      </c>
      <c r="O131" s="10">
        <v>4140.7</v>
      </c>
      <c r="P131" s="10">
        <v>909.8</v>
      </c>
    </row>
    <row r="132" spans="2:16" s="8" customFormat="1" ht="34.9" hidden="1" customHeight="1">
      <c r="B132" s="3">
        <v>2014</v>
      </c>
      <c r="C132" s="13"/>
      <c r="D132" s="12"/>
      <c r="E132" s="12"/>
      <c r="F132" s="12"/>
      <c r="G132" s="12"/>
      <c r="H132" s="13"/>
      <c r="I132" s="12"/>
      <c r="J132" s="12"/>
      <c r="K132" s="12"/>
      <c r="L132" s="12"/>
      <c r="M132" s="12"/>
      <c r="N132" s="12"/>
      <c r="O132" s="12"/>
      <c r="P132" s="12"/>
    </row>
    <row r="133" spans="2:16" s="8" customFormat="1" ht="34.9" hidden="1" customHeight="1">
      <c r="B133" s="14">
        <v>41640</v>
      </c>
      <c r="C133" s="7">
        <v>3022.2</v>
      </c>
      <c r="D133" s="6">
        <v>4360.5</v>
      </c>
      <c r="E133" s="6">
        <v>1897.2</v>
      </c>
      <c r="F133" s="6">
        <v>2174.4</v>
      </c>
      <c r="G133" s="6">
        <v>2256.9</v>
      </c>
      <c r="H133" s="7">
        <v>1659.8</v>
      </c>
      <c r="I133" s="6">
        <v>926</v>
      </c>
      <c r="J133" s="6">
        <v>3694.3</v>
      </c>
      <c r="K133" s="6">
        <v>1285.2</v>
      </c>
      <c r="L133" s="6">
        <v>467.2</v>
      </c>
      <c r="M133" s="6">
        <v>1257.4000000000001</v>
      </c>
      <c r="N133" s="6">
        <v>601.6</v>
      </c>
      <c r="O133" s="6">
        <v>3992</v>
      </c>
      <c r="P133" s="6">
        <v>957</v>
      </c>
    </row>
    <row r="134" spans="2:16" s="8" customFormat="1" ht="34.9" hidden="1" customHeight="1">
      <c r="B134" s="15">
        <v>41671</v>
      </c>
      <c r="C134" s="11">
        <v>3035.32</v>
      </c>
      <c r="D134" s="10">
        <v>4438.9799999999996</v>
      </c>
      <c r="E134" s="10">
        <v>1901.59</v>
      </c>
      <c r="F134" s="10">
        <v>2010.02</v>
      </c>
      <c r="G134" s="10">
        <v>2177.48</v>
      </c>
      <c r="H134" s="11">
        <v>1632.89</v>
      </c>
      <c r="I134" s="10">
        <v>912.84</v>
      </c>
      <c r="J134" s="10">
        <v>3796.93</v>
      </c>
      <c r="K134" s="10">
        <v>1255.55</v>
      </c>
      <c r="L134" s="10">
        <v>445.97</v>
      </c>
      <c r="M134" s="10">
        <v>1078.7</v>
      </c>
      <c r="N134" s="10">
        <v>557.12</v>
      </c>
      <c r="O134" s="10">
        <v>3971.39</v>
      </c>
      <c r="P134" s="10">
        <v>998.71</v>
      </c>
    </row>
    <row r="135" spans="2:16" s="8" customFormat="1" ht="34.9" hidden="1" customHeight="1">
      <c r="B135" s="14">
        <v>41699</v>
      </c>
      <c r="C135" s="7">
        <v>2974.5</v>
      </c>
      <c r="D135" s="6">
        <v>4331.6000000000004</v>
      </c>
      <c r="E135" s="6">
        <v>1919.6</v>
      </c>
      <c r="F135" s="6">
        <v>2008.4</v>
      </c>
      <c r="G135" s="6">
        <v>2149.1</v>
      </c>
      <c r="H135" s="7">
        <v>1621.4</v>
      </c>
      <c r="I135" s="6">
        <v>903.1</v>
      </c>
      <c r="J135" s="6">
        <v>3879.6</v>
      </c>
      <c r="K135" s="6">
        <v>1253.8</v>
      </c>
      <c r="L135" s="6">
        <v>424.7</v>
      </c>
      <c r="M135" s="6">
        <v>1108.5</v>
      </c>
      <c r="N135" s="6">
        <v>553</v>
      </c>
      <c r="O135" s="6">
        <v>3879.4</v>
      </c>
      <c r="P135" s="6">
        <v>970.6</v>
      </c>
    </row>
    <row r="136" spans="2:16" s="8" customFormat="1" ht="34.9" hidden="1" customHeight="1">
      <c r="B136" s="15">
        <v>41730</v>
      </c>
      <c r="C136" s="11">
        <v>2944.3</v>
      </c>
      <c r="D136" s="10">
        <v>4320.58</v>
      </c>
      <c r="E136" s="10">
        <v>1940.1</v>
      </c>
      <c r="F136" s="10">
        <v>1899.21</v>
      </c>
      <c r="G136" s="10">
        <v>2051.87</v>
      </c>
      <c r="H136" s="11">
        <v>1561.8</v>
      </c>
      <c r="I136" s="10">
        <v>972.74</v>
      </c>
      <c r="J136" s="10">
        <v>3730.41</v>
      </c>
      <c r="K136" s="10">
        <v>1203.3399999999999</v>
      </c>
      <c r="L136" s="10">
        <v>408.65</v>
      </c>
      <c r="M136" s="10">
        <v>1012.53</v>
      </c>
      <c r="N136" s="10">
        <v>545</v>
      </c>
      <c r="O136" s="10">
        <v>3730.78</v>
      </c>
      <c r="P136" s="10">
        <v>986.57</v>
      </c>
    </row>
    <row r="137" spans="2:16" s="8" customFormat="1" ht="34.9" hidden="1" customHeight="1">
      <c r="B137" s="14">
        <v>41760</v>
      </c>
      <c r="C137" s="7">
        <v>2959.1655458093319</v>
      </c>
      <c r="D137" s="6">
        <v>4394.2</v>
      </c>
      <c r="E137" s="6">
        <v>1896.3</v>
      </c>
      <c r="F137" s="6">
        <v>1818.1</v>
      </c>
      <c r="G137" s="6">
        <v>1955.6</v>
      </c>
      <c r="H137" s="7">
        <v>1590.6</v>
      </c>
      <c r="I137" s="6">
        <v>952.5</v>
      </c>
      <c r="J137" s="6">
        <v>3722</v>
      </c>
      <c r="K137" s="6">
        <v>1185</v>
      </c>
      <c r="L137" s="6">
        <v>380.9</v>
      </c>
      <c r="M137" s="6">
        <v>1065.5</v>
      </c>
      <c r="N137" s="6">
        <v>514.20000000000005</v>
      </c>
      <c r="O137" s="6">
        <v>3960</v>
      </c>
      <c r="P137" s="6">
        <v>997.3</v>
      </c>
    </row>
    <row r="138" spans="2:16" s="8" customFormat="1" ht="34.9" hidden="1" customHeight="1">
      <c r="B138" s="15">
        <v>41791</v>
      </c>
      <c r="C138" s="11">
        <v>2891.6588176068772</v>
      </c>
      <c r="D138" s="10">
        <v>4263.29268177227</v>
      </c>
      <c r="E138" s="10">
        <v>1962.9771789728866</v>
      </c>
      <c r="F138" s="10">
        <v>1824.4008416005718</v>
      </c>
      <c r="G138" s="10">
        <v>1944.6662930733421</v>
      </c>
      <c r="H138" s="11">
        <v>1635.2324104079953</v>
      </c>
      <c r="I138" s="10">
        <v>1014.1691698763937</v>
      </c>
      <c r="J138" s="10">
        <v>3904.9970489399557</v>
      </c>
      <c r="K138" s="10">
        <v>1216.0120553948234</v>
      </c>
      <c r="L138" s="10">
        <v>393.13229120460022</v>
      </c>
      <c r="M138" s="10">
        <v>1015.834340579067</v>
      </c>
      <c r="N138" s="10">
        <v>486.76491969949166</v>
      </c>
      <c r="O138" s="10">
        <v>4092.4293122085851</v>
      </c>
      <c r="P138" s="10">
        <v>1022.5350298009765</v>
      </c>
    </row>
    <row r="139" spans="2:16" s="8" customFormat="1" ht="34.9" hidden="1" customHeight="1">
      <c r="B139" s="14">
        <v>41821</v>
      </c>
      <c r="C139" s="7">
        <v>2914.1267298316952</v>
      </c>
      <c r="D139" s="6">
        <v>4289.0286463597658</v>
      </c>
      <c r="E139" s="6">
        <v>1947.6461227202292</v>
      </c>
      <c r="F139" s="6">
        <v>1839.9795739916087</v>
      </c>
      <c r="G139" s="6">
        <v>2008.5676687639789</v>
      </c>
      <c r="H139" s="7">
        <v>1649.9372655361576</v>
      </c>
      <c r="I139" s="6">
        <v>964.41775352496677</v>
      </c>
      <c r="J139" s="6">
        <v>3952.8908587356418</v>
      </c>
      <c r="K139" s="6">
        <v>1217.4294201185703</v>
      </c>
      <c r="L139" s="6">
        <v>396.84512671954229</v>
      </c>
      <c r="M139" s="6">
        <v>1019.1432472259044</v>
      </c>
      <c r="N139" s="6">
        <v>453.85468578667616</v>
      </c>
      <c r="O139" s="6">
        <v>4165.8273389714577</v>
      </c>
      <c r="P139" s="6">
        <v>1028.0720206304559</v>
      </c>
    </row>
    <row r="140" spans="2:16" s="8" customFormat="1" ht="34.9" hidden="1" customHeight="1">
      <c r="B140" s="15">
        <v>41852</v>
      </c>
      <c r="C140" s="11">
        <v>2906.9913137588528</v>
      </c>
      <c r="D140" s="10">
        <v>4288.6197980183779</v>
      </c>
      <c r="E140" s="10">
        <v>1951.3798327137624</v>
      </c>
      <c r="F140" s="10">
        <v>1822.184761022477</v>
      </c>
      <c r="G140" s="10">
        <v>1962.8072761051951</v>
      </c>
      <c r="H140" s="11">
        <v>1635.5176456838178</v>
      </c>
      <c r="I140" s="10">
        <v>992.36881748941994</v>
      </c>
      <c r="J140" s="10">
        <v>3951.4835107893955</v>
      </c>
      <c r="K140" s="10">
        <v>1221.6263486732682</v>
      </c>
      <c r="L140" s="10">
        <v>387.56596305062385</v>
      </c>
      <c r="M140" s="10">
        <v>1022.4521538727417</v>
      </c>
      <c r="N140" s="10">
        <v>385.17545352905819</v>
      </c>
      <c r="O140" s="10">
        <v>4059.0656649412704</v>
      </c>
      <c r="P140" s="10">
        <v>1070.8420569790221</v>
      </c>
    </row>
    <row r="141" spans="2:16" s="8" customFormat="1" ht="34.9" hidden="1" customHeight="1">
      <c r="B141" s="14">
        <v>41883</v>
      </c>
      <c r="C141" s="7">
        <v>2892.9</v>
      </c>
      <c r="D141" s="6">
        <v>4275.2</v>
      </c>
      <c r="E141" s="6">
        <v>1901.4</v>
      </c>
      <c r="F141" s="6">
        <v>1815</v>
      </c>
      <c r="G141" s="6">
        <v>1939.6</v>
      </c>
      <c r="H141" s="7">
        <v>1647.1</v>
      </c>
      <c r="I141" s="6">
        <v>970</v>
      </c>
      <c r="J141" s="6">
        <v>3946.7</v>
      </c>
      <c r="K141" s="6">
        <v>1214.0999999999999</v>
      </c>
      <c r="L141" s="6">
        <v>387.4</v>
      </c>
      <c r="M141" s="6">
        <v>1002.6</v>
      </c>
      <c r="N141" s="6">
        <v>469</v>
      </c>
      <c r="O141" s="6">
        <v>4156.1000000000004</v>
      </c>
      <c r="P141" s="6">
        <v>1064.5999999999999</v>
      </c>
    </row>
    <row r="142" spans="2:16" s="8" customFormat="1" ht="34.9" hidden="1" customHeight="1">
      <c r="B142" s="15">
        <v>41913</v>
      </c>
      <c r="C142" s="11">
        <v>2889.8</v>
      </c>
      <c r="D142" s="10">
        <v>4252.1000000000004</v>
      </c>
      <c r="E142" s="10">
        <v>1965.9</v>
      </c>
      <c r="F142" s="10">
        <v>1805.5</v>
      </c>
      <c r="G142" s="10">
        <v>2000.4</v>
      </c>
      <c r="H142" s="11">
        <v>1655</v>
      </c>
      <c r="I142" s="10">
        <v>983.6</v>
      </c>
      <c r="J142" s="10">
        <v>3981.6</v>
      </c>
      <c r="K142" s="10">
        <v>1235.0999999999999</v>
      </c>
      <c r="L142" s="10">
        <v>394.4</v>
      </c>
      <c r="M142" s="10">
        <v>1022.5</v>
      </c>
      <c r="N142" s="10">
        <v>396.3</v>
      </c>
      <c r="O142" s="10">
        <v>4129.3</v>
      </c>
      <c r="P142" s="10">
        <v>1081.5</v>
      </c>
    </row>
    <row r="143" spans="2:16" s="8" customFormat="1" ht="34.9" hidden="1" customHeight="1">
      <c r="B143" s="14">
        <v>41944</v>
      </c>
      <c r="C143" s="7">
        <v>2901.2</v>
      </c>
      <c r="D143" s="6">
        <v>4288.8999999999996</v>
      </c>
      <c r="E143" s="6">
        <v>1961.7</v>
      </c>
      <c r="F143" s="6">
        <v>1789.3</v>
      </c>
      <c r="G143" s="6">
        <v>1937.5</v>
      </c>
      <c r="H143" s="7">
        <v>1744.3</v>
      </c>
      <c r="I143" s="6">
        <v>969.4</v>
      </c>
      <c r="J143" s="6">
        <v>3982.3</v>
      </c>
      <c r="K143" s="6">
        <v>1247.0999999999999</v>
      </c>
      <c r="L143" s="6">
        <v>439.1</v>
      </c>
      <c r="M143" s="6">
        <v>1045.5999999999999</v>
      </c>
      <c r="N143" s="6">
        <v>400.1</v>
      </c>
      <c r="O143" s="6">
        <v>4618.3999999999996</v>
      </c>
      <c r="P143" s="6">
        <v>1054.3</v>
      </c>
    </row>
    <row r="144" spans="2:16" s="8" customFormat="1" ht="34.9" hidden="1" customHeight="1">
      <c r="B144" s="15">
        <v>41974</v>
      </c>
      <c r="C144" s="11">
        <v>2920.9</v>
      </c>
      <c r="D144" s="10">
        <v>4286.5</v>
      </c>
      <c r="E144" s="10">
        <v>1976.3</v>
      </c>
      <c r="F144" s="10">
        <v>1835.9</v>
      </c>
      <c r="G144" s="10">
        <v>2072.3000000000002</v>
      </c>
      <c r="H144" s="11">
        <v>1794.8</v>
      </c>
      <c r="I144" s="10">
        <v>975.5</v>
      </c>
      <c r="J144" s="10">
        <v>4052.7</v>
      </c>
      <c r="K144" s="10">
        <v>1257.5999999999999</v>
      </c>
      <c r="L144" s="10">
        <v>487.2</v>
      </c>
      <c r="M144" s="10">
        <v>1161.4000000000001</v>
      </c>
      <c r="N144" s="10">
        <v>419.5</v>
      </c>
      <c r="O144" s="10">
        <v>4677.5</v>
      </c>
      <c r="P144" s="10">
        <v>1080.5999999999999</v>
      </c>
    </row>
    <row r="145" spans="2:16" s="8" customFormat="1" ht="34.9" hidden="1" customHeight="1">
      <c r="B145" s="3">
        <v>2015</v>
      </c>
      <c r="C145" s="13"/>
      <c r="D145" s="12"/>
      <c r="E145" s="12"/>
      <c r="F145" s="12"/>
      <c r="G145" s="12"/>
      <c r="H145" s="13"/>
      <c r="I145" s="12"/>
      <c r="J145" s="12"/>
      <c r="K145" s="12"/>
      <c r="L145" s="12"/>
      <c r="M145" s="12"/>
      <c r="N145" s="12"/>
      <c r="O145" s="12"/>
      <c r="P145" s="12"/>
    </row>
    <row r="146" spans="2:16" s="8" customFormat="1" ht="34.9" hidden="1" customHeight="1">
      <c r="B146" s="14">
        <v>42005</v>
      </c>
      <c r="C146" s="7">
        <v>2944.7</v>
      </c>
      <c r="D146" s="6">
        <v>4308.6000000000004</v>
      </c>
      <c r="E146" s="6">
        <v>1982.4</v>
      </c>
      <c r="F146" s="6">
        <v>1820</v>
      </c>
      <c r="G146" s="6">
        <v>2183</v>
      </c>
      <c r="H146" s="7">
        <v>1771.7</v>
      </c>
      <c r="I146" s="6">
        <v>972.1</v>
      </c>
      <c r="J146" s="6">
        <v>4080.3</v>
      </c>
      <c r="K146" s="6">
        <v>1270.5</v>
      </c>
      <c r="L146" s="6">
        <v>464</v>
      </c>
      <c r="M146" s="6">
        <v>1091.9000000000001</v>
      </c>
      <c r="N146" s="6">
        <v>382.9</v>
      </c>
      <c r="O146" s="6">
        <v>4610.6000000000004</v>
      </c>
      <c r="P146" s="6">
        <v>1076.4000000000001</v>
      </c>
    </row>
    <row r="147" spans="2:16" s="8" customFormat="1" ht="34.9" hidden="1" customHeight="1">
      <c r="B147" s="15">
        <v>42036</v>
      </c>
      <c r="C147" s="11">
        <v>2984.9</v>
      </c>
      <c r="D147" s="10">
        <v>4350.8999999999996</v>
      </c>
      <c r="E147" s="10">
        <v>1989.6</v>
      </c>
      <c r="F147" s="10">
        <v>1823.4</v>
      </c>
      <c r="G147" s="10">
        <v>2322.3000000000002</v>
      </c>
      <c r="H147" s="11">
        <v>1823</v>
      </c>
      <c r="I147" s="10">
        <v>986.1</v>
      </c>
      <c r="J147" s="10">
        <v>4186.5</v>
      </c>
      <c r="K147" s="10">
        <v>1258.8</v>
      </c>
      <c r="L147" s="10">
        <v>473.9</v>
      </c>
      <c r="M147" s="10">
        <v>1108.5</v>
      </c>
      <c r="N147" s="10">
        <v>375.4</v>
      </c>
      <c r="O147" s="10">
        <v>4874</v>
      </c>
      <c r="P147" s="10">
        <v>1071.8</v>
      </c>
    </row>
    <row r="148" spans="2:16" s="8" customFormat="1" ht="34.9" hidden="1" customHeight="1">
      <c r="B148" s="14">
        <v>42064</v>
      </c>
      <c r="C148" s="7">
        <v>2890.5</v>
      </c>
      <c r="D148" s="6">
        <v>4221.8999999999996</v>
      </c>
      <c r="E148" s="6">
        <v>2002.2</v>
      </c>
      <c r="F148" s="6">
        <v>1763.5</v>
      </c>
      <c r="G148" s="6">
        <v>2172.4</v>
      </c>
      <c r="H148" s="7">
        <v>1785.9</v>
      </c>
      <c r="I148" s="6">
        <v>882.4</v>
      </c>
      <c r="J148" s="6">
        <v>4108.8999999999996</v>
      </c>
      <c r="K148" s="6">
        <v>1192.4000000000001</v>
      </c>
      <c r="L148" s="6">
        <v>434.6</v>
      </c>
      <c r="M148" s="6">
        <v>1042.3</v>
      </c>
      <c r="N148" s="6">
        <v>272.7</v>
      </c>
      <c r="O148" s="6">
        <v>4919.6000000000004</v>
      </c>
      <c r="P148" s="6">
        <v>1098.5</v>
      </c>
    </row>
    <row r="149" spans="2:16" s="8" customFormat="1" ht="34.9" hidden="1" customHeight="1">
      <c r="B149" s="15">
        <v>42095</v>
      </c>
      <c r="C149" s="11">
        <v>2845.7</v>
      </c>
      <c r="D149" s="10">
        <v>4154.1000000000004</v>
      </c>
      <c r="E149" s="10">
        <v>1987.8</v>
      </c>
      <c r="F149" s="10">
        <v>1709.5</v>
      </c>
      <c r="G149" s="10">
        <v>2166.8000000000002</v>
      </c>
      <c r="H149" s="11">
        <v>1769.9</v>
      </c>
      <c r="I149" s="10">
        <v>895.4</v>
      </c>
      <c r="J149" s="10">
        <v>3956.9</v>
      </c>
      <c r="K149" s="10">
        <v>1155.2</v>
      </c>
      <c r="L149" s="10">
        <v>415</v>
      </c>
      <c r="M149" s="10">
        <v>966.2</v>
      </c>
      <c r="N149" s="10">
        <v>322.2</v>
      </c>
      <c r="O149" s="10">
        <v>5121.3</v>
      </c>
      <c r="P149" s="10">
        <v>1002.2</v>
      </c>
    </row>
    <row r="150" spans="2:16" s="8" customFormat="1" ht="34.9" hidden="1" customHeight="1">
      <c r="B150" s="14">
        <v>42125</v>
      </c>
      <c r="C150" s="7">
        <v>2888.1</v>
      </c>
      <c r="D150" s="6">
        <v>4242.6000000000004</v>
      </c>
      <c r="E150" s="6">
        <v>1958</v>
      </c>
      <c r="F150" s="6">
        <v>1701.6</v>
      </c>
      <c r="G150" s="6">
        <v>2119.8000000000002</v>
      </c>
      <c r="H150" s="7">
        <v>1862.7</v>
      </c>
      <c r="I150" s="6">
        <v>924.2</v>
      </c>
      <c r="J150" s="6">
        <v>3924.5</v>
      </c>
      <c r="K150" s="6">
        <v>1178.5999999999999</v>
      </c>
      <c r="L150" s="6">
        <v>408.6</v>
      </c>
      <c r="M150" s="6">
        <v>992.7</v>
      </c>
      <c r="N150" s="6">
        <v>295.8</v>
      </c>
      <c r="O150" s="6">
        <v>5687.6</v>
      </c>
      <c r="P150" s="6">
        <v>1022.9</v>
      </c>
    </row>
    <row r="151" spans="2:16" s="8" customFormat="1" ht="34.9" hidden="1" customHeight="1">
      <c r="B151" s="15">
        <v>42156</v>
      </c>
      <c r="C151" s="11">
        <v>2811.8</v>
      </c>
      <c r="D151" s="10">
        <v>4116.7</v>
      </c>
      <c r="E151" s="10">
        <v>1951.1</v>
      </c>
      <c r="F151" s="10">
        <v>1712.9</v>
      </c>
      <c r="G151" s="10">
        <v>2062.3000000000002</v>
      </c>
      <c r="H151" s="11">
        <v>1790.3</v>
      </c>
      <c r="I151" s="10">
        <v>971.8</v>
      </c>
      <c r="J151" s="10">
        <v>4122.8999999999996</v>
      </c>
      <c r="K151" s="10">
        <v>1180.2</v>
      </c>
      <c r="L151" s="10">
        <v>385.7</v>
      </c>
      <c r="M151" s="10">
        <v>992.7</v>
      </c>
      <c r="N151" s="10">
        <v>292.2</v>
      </c>
      <c r="O151" s="10">
        <v>5131.2</v>
      </c>
      <c r="P151" s="10">
        <v>1023.6</v>
      </c>
    </row>
    <row r="152" spans="2:16" s="8" customFormat="1" ht="34.9" hidden="1" customHeight="1">
      <c r="B152" s="14">
        <v>42186</v>
      </c>
      <c r="C152" s="7">
        <v>2835.3</v>
      </c>
      <c r="D152" s="6">
        <v>4106.6000000000004</v>
      </c>
      <c r="E152" s="6">
        <v>2012.2</v>
      </c>
      <c r="F152" s="6">
        <v>1777.2</v>
      </c>
      <c r="G152" s="6">
        <v>2232</v>
      </c>
      <c r="H152" s="7">
        <v>1766.3</v>
      </c>
      <c r="I152" s="6">
        <v>946.6</v>
      </c>
      <c r="J152" s="6">
        <v>3966.8</v>
      </c>
      <c r="K152" s="6">
        <v>1139.2</v>
      </c>
      <c r="L152" s="6">
        <v>400.7</v>
      </c>
      <c r="M152" s="6">
        <v>972.8</v>
      </c>
      <c r="N152" s="6">
        <v>259.5</v>
      </c>
      <c r="O152" s="6">
        <v>5105.1000000000004</v>
      </c>
      <c r="P152" s="6">
        <v>1043.4000000000001</v>
      </c>
    </row>
    <row r="153" spans="2:16" s="8" customFormat="1" ht="34.9" hidden="1" customHeight="1">
      <c r="B153" s="15">
        <v>42217</v>
      </c>
      <c r="C153" s="11">
        <v>2860.43</v>
      </c>
      <c r="D153" s="10">
        <v>4170.91</v>
      </c>
      <c r="E153" s="10">
        <v>2001.85</v>
      </c>
      <c r="F153" s="10">
        <v>1712.03</v>
      </c>
      <c r="G153" s="10">
        <v>2201.4499999999998</v>
      </c>
      <c r="H153" s="11">
        <v>1664.2</v>
      </c>
      <c r="I153" s="10">
        <v>952.33</v>
      </c>
      <c r="J153" s="10">
        <v>3906.67</v>
      </c>
      <c r="K153" s="10">
        <v>1107.21</v>
      </c>
      <c r="L153" s="10">
        <v>393.3</v>
      </c>
      <c r="M153" s="10">
        <v>790.83</v>
      </c>
      <c r="N153" s="10">
        <v>228.94</v>
      </c>
      <c r="O153" s="10">
        <v>4762.68</v>
      </c>
      <c r="P153" s="10">
        <v>984.64</v>
      </c>
    </row>
    <row r="154" spans="2:16" s="8" customFormat="1" ht="34.9" hidden="1" customHeight="1">
      <c r="B154" s="14">
        <v>42248</v>
      </c>
      <c r="C154" s="7">
        <v>2829.17</v>
      </c>
      <c r="D154" s="6">
        <v>4082.16</v>
      </c>
      <c r="E154" s="6">
        <v>2032.47</v>
      </c>
      <c r="F154" s="6">
        <v>1686.79</v>
      </c>
      <c r="G154" s="6">
        <v>2376.37</v>
      </c>
      <c r="H154" s="7">
        <v>1592.93</v>
      </c>
      <c r="I154" s="6">
        <v>924.46</v>
      </c>
      <c r="J154" s="6">
        <v>3944.57</v>
      </c>
      <c r="K154" s="6">
        <v>1082.53</v>
      </c>
      <c r="L154" s="6">
        <v>388.03</v>
      </c>
      <c r="M154" s="6">
        <v>701.49</v>
      </c>
      <c r="N154" s="6">
        <v>224.58</v>
      </c>
      <c r="O154" s="6">
        <v>4449.62</v>
      </c>
      <c r="P154" s="6">
        <v>946.6</v>
      </c>
    </row>
    <row r="155" spans="2:16" s="8" customFormat="1" ht="34.9" hidden="1" customHeight="1">
      <c r="B155" s="15">
        <v>42278</v>
      </c>
      <c r="C155" s="11">
        <v>2797.87</v>
      </c>
      <c r="D155" s="10">
        <v>4029.91</v>
      </c>
      <c r="E155" s="10">
        <v>2016.74</v>
      </c>
      <c r="F155" s="10">
        <v>1710.13</v>
      </c>
      <c r="G155" s="10">
        <v>2340.35</v>
      </c>
      <c r="H155" s="11">
        <v>1607.37</v>
      </c>
      <c r="I155" s="10">
        <v>973.17</v>
      </c>
      <c r="J155" s="10">
        <v>3995.29</v>
      </c>
      <c r="K155" s="10">
        <v>1029.28</v>
      </c>
      <c r="L155" s="10">
        <v>379.98</v>
      </c>
      <c r="M155" s="10">
        <v>684.94</v>
      </c>
      <c r="N155" s="10">
        <v>202.78</v>
      </c>
      <c r="O155" s="10">
        <v>4574.75</v>
      </c>
      <c r="P155" s="10">
        <v>965.73</v>
      </c>
    </row>
    <row r="156" spans="2:16" s="8" customFormat="1" ht="34.9" hidden="1" customHeight="1">
      <c r="B156" s="14">
        <v>42309</v>
      </c>
      <c r="C156" s="7">
        <v>2730.18</v>
      </c>
      <c r="D156" s="6">
        <v>3981.7</v>
      </c>
      <c r="E156" s="6">
        <v>2019.02</v>
      </c>
      <c r="F156" s="6">
        <v>1613.05</v>
      </c>
      <c r="G156" s="6">
        <v>2053.65</v>
      </c>
      <c r="H156" s="7">
        <v>1582.92</v>
      </c>
      <c r="I156" s="6">
        <v>1008.67</v>
      </c>
      <c r="J156" s="6">
        <v>3982.6</v>
      </c>
      <c r="K156" s="6">
        <v>1020.36</v>
      </c>
      <c r="L156" s="6">
        <v>391.14</v>
      </c>
      <c r="M156" s="6">
        <v>721.34</v>
      </c>
      <c r="N156" s="6">
        <v>191.88</v>
      </c>
      <c r="O156" s="6">
        <v>4354.8999999999996</v>
      </c>
      <c r="P156" s="6">
        <v>991.14</v>
      </c>
    </row>
    <row r="157" spans="2:16" s="8" customFormat="1" ht="34.9" hidden="1" customHeight="1">
      <c r="B157" s="15">
        <v>42339</v>
      </c>
      <c r="C157" s="11">
        <v>2906.17</v>
      </c>
      <c r="D157" s="10">
        <v>4249.67</v>
      </c>
      <c r="E157" s="10">
        <v>2064.58</v>
      </c>
      <c r="F157" s="10">
        <v>1695.49</v>
      </c>
      <c r="G157" s="10">
        <v>2194.4299999999998</v>
      </c>
      <c r="H157" s="11">
        <v>1726.73</v>
      </c>
      <c r="I157" s="10">
        <v>966.63</v>
      </c>
      <c r="J157" s="10">
        <v>4012.3</v>
      </c>
      <c r="K157" s="10">
        <v>1040.51</v>
      </c>
      <c r="L157" s="10">
        <v>404.04</v>
      </c>
      <c r="M157" s="10">
        <v>1161.43</v>
      </c>
      <c r="N157" s="10">
        <v>189.7</v>
      </c>
      <c r="O157" s="10">
        <v>4803.09</v>
      </c>
      <c r="P157" s="10">
        <v>1026.97</v>
      </c>
    </row>
    <row r="158" spans="2:16" s="8" customFormat="1" ht="34.9" hidden="1" customHeight="1">
      <c r="B158" s="3">
        <v>2016</v>
      </c>
      <c r="C158" s="13"/>
      <c r="D158" s="12"/>
      <c r="E158" s="12"/>
      <c r="F158" s="12"/>
      <c r="G158" s="12"/>
      <c r="H158" s="13"/>
      <c r="I158" s="12"/>
      <c r="J158" s="12"/>
      <c r="K158" s="12"/>
      <c r="L158" s="12"/>
      <c r="M158" s="12"/>
      <c r="N158" s="12"/>
      <c r="O158" s="12"/>
      <c r="P158" s="12"/>
    </row>
    <row r="159" spans="2:16" s="8" customFormat="1" ht="34.9" hidden="1" customHeight="1">
      <c r="B159" s="14">
        <v>42370</v>
      </c>
      <c r="C159" s="7">
        <v>2943.85</v>
      </c>
      <c r="D159" s="6">
        <v>4315.46</v>
      </c>
      <c r="E159" s="6">
        <v>2061.62</v>
      </c>
      <c r="F159" s="6">
        <v>1697.38</v>
      </c>
      <c r="G159" s="6">
        <v>2207.56</v>
      </c>
      <c r="H159" s="7">
        <v>1719.63</v>
      </c>
      <c r="I159" s="6">
        <v>956.08</v>
      </c>
      <c r="J159" s="6">
        <v>3991.33</v>
      </c>
      <c r="K159" s="6">
        <v>1026.25</v>
      </c>
      <c r="L159" s="6">
        <v>396.52</v>
      </c>
      <c r="M159" s="6">
        <v>895.57</v>
      </c>
      <c r="N159" s="6">
        <v>239.85</v>
      </c>
      <c r="O159" s="6">
        <v>5036.88</v>
      </c>
      <c r="P159" s="6">
        <v>1042.6199999999999</v>
      </c>
    </row>
    <row r="160" spans="2:16" s="8" customFormat="1" ht="34.9" hidden="1" customHeight="1">
      <c r="B160" s="15">
        <v>42401</v>
      </c>
      <c r="C160" s="11">
        <v>2914.18</v>
      </c>
      <c r="D160" s="10">
        <v>4258.1400000000003</v>
      </c>
      <c r="E160" s="10">
        <v>2032.13</v>
      </c>
      <c r="F160" s="10">
        <v>1748.72</v>
      </c>
      <c r="G160" s="10">
        <v>2182.5700000000002</v>
      </c>
      <c r="H160" s="11">
        <v>1659.52</v>
      </c>
      <c r="I160" s="10">
        <v>908.94</v>
      </c>
      <c r="J160" s="10">
        <v>3988.14</v>
      </c>
      <c r="K160" s="10">
        <v>1013.94</v>
      </c>
      <c r="L160" s="10">
        <v>369.75</v>
      </c>
      <c r="M160" s="10">
        <v>786.21</v>
      </c>
      <c r="N160" s="10">
        <v>204.96</v>
      </c>
      <c r="O160" s="10">
        <v>4830.76</v>
      </c>
      <c r="P160" s="10">
        <v>1052.06</v>
      </c>
    </row>
    <row r="161" spans="2:16" s="8" customFormat="1" ht="34.9" hidden="1" customHeight="1">
      <c r="B161" s="14">
        <v>42430</v>
      </c>
      <c r="C161" s="7">
        <v>2890.67</v>
      </c>
      <c r="D161" s="6">
        <v>4237.76</v>
      </c>
      <c r="E161" s="6">
        <v>2044.68</v>
      </c>
      <c r="F161" s="6">
        <v>1679.79</v>
      </c>
      <c r="G161" s="6">
        <v>2144.1</v>
      </c>
      <c r="H161" s="7">
        <v>1669.25</v>
      </c>
      <c r="I161" s="6">
        <v>898.17</v>
      </c>
      <c r="J161" s="6">
        <v>3960.92</v>
      </c>
      <c r="K161" s="6">
        <v>1007.22</v>
      </c>
      <c r="L161" s="6">
        <v>349.04</v>
      </c>
      <c r="M161" s="6">
        <v>753.25</v>
      </c>
      <c r="N161" s="6">
        <v>187.52</v>
      </c>
      <c r="O161" s="6">
        <v>5046.45</v>
      </c>
      <c r="P161" s="6">
        <v>1017.93</v>
      </c>
    </row>
    <row r="162" spans="2:16" s="8" customFormat="1" ht="34.9" hidden="1" customHeight="1">
      <c r="B162" s="15">
        <v>42461</v>
      </c>
      <c r="C162" s="11">
        <v>2826.7</v>
      </c>
      <c r="D162" s="10">
        <v>4143.3999999999996</v>
      </c>
      <c r="E162" s="10">
        <v>2063.3000000000002</v>
      </c>
      <c r="F162" s="10">
        <v>1628.9</v>
      </c>
      <c r="G162" s="10">
        <v>2083.6999999999998</v>
      </c>
      <c r="H162" s="11">
        <v>1614</v>
      </c>
      <c r="I162" s="10">
        <v>881.9</v>
      </c>
      <c r="J162" s="10">
        <v>3753.7</v>
      </c>
      <c r="K162" s="10">
        <v>979.6</v>
      </c>
      <c r="L162" s="10">
        <v>340.4</v>
      </c>
      <c r="M162" s="10">
        <v>668.4</v>
      </c>
      <c r="N162" s="10">
        <v>178.8</v>
      </c>
      <c r="O162" s="10">
        <v>4944.5</v>
      </c>
      <c r="P162" s="10">
        <v>997.4</v>
      </c>
    </row>
    <row r="163" spans="2:16" s="8" customFormat="1" ht="34.9" hidden="1" customHeight="1">
      <c r="B163" s="14">
        <v>42491</v>
      </c>
      <c r="C163" s="7">
        <v>2845.65</v>
      </c>
      <c r="D163" s="6">
        <v>4160.3100000000004</v>
      </c>
      <c r="E163" s="6">
        <v>2129.02</v>
      </c>
      <c r="F163" s="6">
        <v>1608.15</v>
      </c>
      <c r="G163" s="6">
        <v>2157.0500000000002</v>
      </c>
      <c r="H163" s="7">
        <v>1606.2</v>
      </c>
      <c r="I163" s="6">
        <v>843.47</v>
      </c>
      <c r="J163" s="6">
        <v>3807.28</v>
      </c>
      <c r="K163" s="6">
        <v>1009.39</v>
      </c>
      <c r="L163" s="6">
        <v>343.04</v>
      </c>
      <c r="M163" s="6">
        <v>619.89</v>
      </c>
      <c r="N163" s="6">
        <v>183.16</v>
      </c>
      <c r="O163" s="6">
        <v>4797.6899999999996</v>
      </c>
      <c r="P163" s="6">
        <v>1078.95</v>
      </c>
    </row>
    <row r="164" spans="2:16" s="8" customFormat="1" ht="34.9" hidden="1" customHeight="1">
      <c r="B164" s="15">
        <v>42522</v>
      </c>
      <c r="C164" s="11">
        <v>2799.54</v>
      </c>
      <c r="D164" s="10">
        <v>4109.8</v>
      </c>
      <c r="E164" s="10">
        <v>2092</v>
      </c>
      <c r="F164" s="10">
        <v>1568.49</v>
      </c>
      <c r="G164" s="10">
        <v>2058.0300000000002</v>
      </c>
      <c r="H164" s="11">
        <v>1594.1</v>
      </c>
      <c r="I164" s="10">
        <v>847.7</v>
      </c>
      <c r="J164" s="10">
        <v>3820.17</v>
      </c>
      <c r="K164" s="10">
        <v>1007.82</v>
      </c>
      <c r="L164" s="10">
        <v>352.2</v>
      </c>
      <c r="M164" s="10">
        <v>614.42999999999995</v>
      </c>
      <c r="N164" s="10">
        <v>176.61</v>
      </c>
      <c r="O164" s="10">
        <v>4730.92</v>
      </c>
      <c r="P164" s="10">
        <v>1055.7</v>
      </c>
    </row>
    <row r="165" spans="2:16" s="8" customFormat="1" ht="34.9" hidden="1" customHeight="1">
      <c r="B165" s="14">
        <v>42552</v>
      </c>
      <c r="C165" s="7">
        <v>2810.52</v>
      </c>
      <c r="D165" s="6">
        <v>4139.7299999999996</v>
      </c>
      <c r="E165" s="6">
        <v>2056.23</v>
      </c>
      <c r="F165" s="6">
        <v>1570.93</v>
      </c>
      <c r="G165" s="6">
        <v>2026.09</v>
      </c>
      <c r="H165" s="7">
        <v>1603.83</v>
      </c>
      <c r="I165" s="6">
        <v>836</v>
      </c>
      <c r="J165" s="6">
        <v>3779.23</v>
      </c>
      <c r="K165" s="6">
        <v>1009.64</v>
      </c>
      <c r="L165" s="6">
        <v>353.75</v>
      </c>
      <c r="M165" s="6">
        <v>627.38</v>
      </c>
      <c r="N165" s="6">
        <v>172.25</v>
      </c>
      <c r="O165" s="6">
        <v>4773.4799999999996</v>
      </c>
      <c r="P165" s="6">
        <v>1090.03</v>
      </c>
    </row>
    <row r="166" spans="2:16" s="8" customFormat="1" ht="34.9" hidden="1" customHeight="1">
      <c r="B166" s="15">
        <v>42583</v>
      </c>
      <c r="C166" s="11">
        <v>2828.72</v>
      </c>
      <c r="D166" s="10">
        <v>4174</v>
      </c>
      <c r="E166" s="10">
        <v>2086.13</v>
      </c>
      <c r="F166" s="10">
        <v>1559.28</v>
      </c>
      <c r="G166" s="10">
        <v>2017.12</v>
      </c>
      <c r="H166" s="11">
        <v>1576.68</v>
      </c>
      <c r="I166" s="10">
        <v>824.88</v>
      </c>
      <c r="J166" s="10">
        <v>3541.18</v>
      </c>
      <c r="K166" s="10">
        <v>993.18</v>
      </c>
      <c r="L166" s="10">
        <v>331.82</v>
      </c>
      <c r="M166" s="10">
        <v>591.17999999999995</v>
      </c>
      <c r="N166" s="10">
        <v>187.52</v>
      </c>
      <c r="O166" s="10">
        <v>4835.05</v>
      </c>
      <c r="P166" s="10">
        <v>1067.42</v>
      </c>
    </row>
    <row r="167" spans="2:16" s="8" customFormat="1" ht="34.9" hidden="1" customHeight="1">
      <c r="B167" s="14">
        <v>42614</v>
      </c>
      <c r="C167" s="7">
        <v>2884.33</v>
      </c>
      <c r="D167" s="6">
        <v>4287.08</v>
      </c>
      <c r="E167" s="6">
        <v>2098.61</v>
      </c>
      <c r="F167" s="6">
        <v>1552.56</v>
      </c>
      <c r="G167" s="6">
        <v>1961.47</v>
      </c>
      <c r="H167" s="7">
        <v>1620.24</v>
      </c>
      <c r="I167" s="6">
        <v>807.24</v>
      </c>
      <c r="J167" s="6">
        <v>3637.61</v>
      </c>
      <c r="K167" s="6">
        <v>989.62</v>
      </c>
      <c r="L167" s="6">
        <v>345.35</v>
      </c>
      <c r="M167" s="6">
        <v>653.99</v>
      </c>
      <c r="N167" s="6">
        <v>185.34</v>
      </c>
      <c r="O167" s="6">
        <v>4988.78</v>
      </c>
      <c r="P167" s="6">
        <v>1087.9100000000001</v>
      </c>
    </row>
    <row r="168" spans="2:16" s="8" customFormat="1" ht="34.9" hidden="1" customHeight="1">
      <c r="B168" s="15">
        <v>42644</v>
      </c>
      <c r="C168" s="11">
        <v>2865.38</v>
      </c>
      <c r="D168" s="10">
        <v>4254.38</v>
      </c>
      <c r="E168" s="10">
        <v>2098.4899999999998</v>
      </c>
      <c r="F168" s="10">
        <v>1536.34</v>
      </c>
      <c r="G168" s="10">
        <v>1970.93</v>
      </c>
      <c r="H168" s="11">
        <v>1613.18</v>
      </c>
      <c r="I168" s="10">
        <v>796.99</v>
      </c>
      <c r="J168" s="10">
        <v>3628.91</v>
      </c>
      <c r="K168" s="10">
        <v>991.69</v>
      </c>
      <c r="L168" s="10">
        <v>350.09</v>
      </c>
      <c r="M168" s="10">
        <v>656.09</v>
      </c>
      <c r="N168" s="10">
        <v>170.07</v>
      </c>
      <c r="O168" s="10">
        <v>4947.1099999999997</v>
      </c>
      <c r="P168" s="10">
        <v>1081.51</v>
      </c>
    </row>
    <row r="169" spans="2:16" s="8" customFormat="1" ht="34.9" hidden="1" customHeight="1">
      <c r="B169" s="14">
        <v>42675</v>
      </c>
      <c r="C169" s="7">
        <v>2925.13</v>
      </c>
      <c r="D169" s="6">
        <v>4348.8</v>
      </c>
      <c r="E169" s="6">
        <v>2076.81</v>
      </c>
      <c r="F169" s="6">
        <v>1607.68</v>
      </c>
      <c r="G169" s="6">
        <v>1973.53</v>
      </c>
      <c r="H169" s="7">
        <v>1622.69</v>
      </c>
      <c r="I169" s="6">
        <v>796.47</v>
      </c>
      <c r="J169" s="6">
        <v>3553.76</v>
      </c>
      <c r="K169" s="6">
        <v>968.9</v>
      </c>
      <c r="L169" s="6">
        <v>336.44</v>
      </c>
      <c r="M169" s="6">
        <v>790.61</v>
      </c>
      <c r="N169" s="6">
        <v>172.25</v>
      </c>
      <c r="O169" s="6">
        <v>4951.95</v>
      </c>
      <c r="P169" s="6">
        <v>1121.47</v>
      </c>
    </row>
    <row r="170" spans="2:16" s="8" customFormat="1" ht="34.9" hidden="1" customHeight="1">
      <c r="B170" s="15">
        <v>42705</v>
      </c>
      <c r="C170" s="11">
        <v>2933.21</v>
      </c>
      <c r="D170" s="10">
        <v>4376</v>
      </c>
      <c r="E170" s="10">
        <v>2073.37</v>
      </c>
      <c r="F170" s="10">
        <v>1573.32</v>
      </c>
      <c r="G170" s="10">
        <v>1948.65</v>
      </c>
      <c r="H170" s="11">
        <v>1604.67</v>
      </c>
      <c r="I170" s="10">
        <v>814.14</v>
      </c>
      <c r="J170" s="10">
        <v>3512.97</v>
      </c>
      <c r="K170" s="10">
        <v>992.73</v>
      </c>
      <c r="L170" s="10">
        <v>344.25</v>
      </c>
      <c r="M170" s="10">
        <v>659.1</v>
      </c>
      <c r="N170" s="10">
        <v>170.07</v>
      </c>
      <c r="O170" s="10">
        <v>4940.8500000000004</v>
      </c>
      <c r="P170" s="10">
        <v>1097.0899999999999</v>
      </c>
    </row>
    <row r="171" spans="2:16" s="8" customFormat="1" ht="34.9" hidden="1" customHeight="1">
      <c r="B171" s="3">
        <v>2017</v>
      </c>
      <c r="C171" s="13"/>
      <c r="D171" s="12"/>
      <c r="E171" s="12"/>
      <c r="F171" s="12"/>
      <c r="G171" s="12"/>
      <c r="H171" s="13"/>
      <c r="I171" s="12"/>
      <c r="J171" s="12"/>
      <c r="K171" s="12"/>
      <c r="L171" s="12"/>
      <c r="M171" s="12"/>
      <c r="N171" s="12"/>
      <c r="O171" s="12"/>
      <c r="P171" s="12"/>
    </row>
    <row r="172" spans="2:16" s="8" customFormat="1" ht="34.9" hidden="1" customHeight="1">
      <c r="B172" s="14">
        <v>42736</v>
      </c>
      <c r="C172" s="7">
        <v>2973.05</v>
      </c>
      <c r="D172" s="6">
        <v>4428.87</v>
      </c>
      <c r="E172" s="6">
        <v>1988.39</v>
      </c>
      <c r="F172" s="6">
        <v>1668.03</v>
      </c>
      <c r="G172" s="6">
        <v>1977.12</v>
      </c>
      <c r="H172" s="7">
        <v>1594.98</v>
      </c>
      <c r="I172" s="6">
        <v>771.5</v>
      </c>
      <c r="J172" s="6">
        <v>3480.23</v>
      </c>
      <c r="K172" s="6">
        <v>1014.78</v>
      </c>
      <c r="L172" s="6">
        <v>364.7</v>
      </c>
      <c r="M172" s="6">
        <v>621.64</v>
      </c>
      <c r="N172" s="6">
        <v>148.27000000000001</v>
      </c>
      <c r="O172" s="6">
        <v>4884.74</v>
      </c>
      <c r="P172" s="6">
        <v>1126.6300000000001</v>
      </c>
    </row>
    <row r="173" spans="2:16" s="8" customFormat="1" ht="34.9" hidden="1" customHeight="1">
      <c r="B173" s="15">
        <v>42767</v>
      </c>
      <c r="C173" s="11">
        <v>3045.89</v>
      </c>
      <c r="D173" s="10">
        <v>4563.9799999999996</v>
      </c>
      <c r="E173" s="10">
        <v>2048.5100000000002</v>
      </c>
      <c r="F173" s="10">
        <v>1659.14</v>
      </c>
      <c r="G173" s="10">
        <v>1947.03</v>
      </c>
      <c r="H173" s="11">
        <v>1600.07</v>
      </c>
      <c r="I173" s="10">
        <v>746.6</v>
      </c>
      <c r="J173" s="10">
        <v>3544.72</v>
      </c>
      <c r="K173" s="10">
        <v>1027.03</v>
      </c>
      <c r="L173" s="10">
        <v>359.61</v>
      </c>
      <c r="M173" s="10">
        <v>653.14</v>
      </c>
      <c r="N173" s="10">
        <v>143.91</v>
      </c>
      <c r="O173" s="10">
        <v>4782.28</v>
      </c>
      <c r="P173" s="10">
        <v>1186.08</v>
      </c>
    </row>
    <row r="174" spans="2:16" s="8" customFormat="1" ht="34.9" hidden="1" customHeight="1">
      <c r="B174" s="14">
        <v>42795</v>
      </c>
      <c r="C174" s="7">
        <v>3091.82</v>
      </c>
      <c r="D174" s="6">
        <v>4619.6899999999996</v>
      </c>
      <c r="E174" s="6">
        <v>2047.01</v>
      </c>
      <c r="F174" s="6">
        <v>1734.32</v>
      </c>
      <c r="G174" s="6">
        <v>1998.09</v>
      </c>
      <c r="H174" s="7">
        <v>1623.15</v>
      </c>
      <c r="I174" s="6">
        <v>740.78</v>
      </c>
      <c r="J174" s="6">
        <v>3476.14</v>
      </c>
      <c r="K174" s="6">
        <v>1037.71</v>
      </c>
      <c r="L174" s="6">
        <v>355.24</v>
      </c>
      <c r="M174" s="6">
        <v>660.84</v>
      </c>
      <c r="N174" s="6">
        <v>141.72999999999999</v>
      </c>
      <c r="O174" s="6">
        <v>4937.59</v>
      </c>
      <c r="P174" s="6">
        <v>1219.53</v>
      </c>
    </row>
    <row r="175" spans="2:16" s="8" customFormat="1" ht="34.9" hidden="1" customHeight="1">
      <c r="B175" s="15">
        <v>42826</v>
      </c>
      <c r="C175" s="11">
        <v>2975.8</v>
      </c>
      <c r="D175" s="10">
        <v>4422.8100000000004</v>
      </c>
      <c r="E175" s="10">
        <v>2023.06</v>
      </c>
      <c r="F175" s="10">
        <v>1725.94</v>
      </c>
      <c r="G175" s="10">
        <v>1954.4</v>
      </c>
      <c r="H175" s="11">
        <v>1601.25</v>
      </c>
      <c r="I175" s="10">
        <v>764.1</v>
      </c>
      <c r="J175" s="10">
        <v>3305.1</v>
      </c>
      <c r="K175" s="10">
        <v>1034.6300000000001</v>
      </c>
      <c r="L175" s="10">
        <v>345.51</v>
      </c>
      <c r="M175" s="10">
        <v>657.76</v>
      </c>
      <c r="N175" s="10">
        <v>137.37</v>
      </c>
      <c r="O175" s="10">
        <v>4955.08</v>
      </c>
      <c r="P175" s="10">
        <v>1174.32</v>
      </c>
    </row>
    <row r="176" spans="2:16" s="8" customFormat="1" ht="34.9" hidden="1" customHeight="1">
      <c r="B176" s="14">
        <v>42856</v>
      </c>
      <c r="C176" s="7">
        <v>2942.13</v>
      </c>
      <c r="D176" s="6">
        <v>4385.8</v>
      </c>
      <c r="E176" s="6">
        <v>1983.68</v>
      </c>
      <c r="F176" s="6">
        <v>1667.48</v>
      </c>
      <c r="G176" s="6">
        <v>1913.23</v>
      </c>
      <c r="H176" s="7">
        <v>1546.76</v>
      </c>
      <c r="I176" s="6">
        <v>779.86</v>
      </c>
      <c r="J176" s="6">
        <v>3309.88</v>
      </c>
      <c r="K176" s="6">
        <v>1025.8599999999999</v>
      </c>
      <c r="L176" s="6">
        <v>356.54</v>
      </c>
      <c r="M176" s="6">
        <v>621.69000000000005</v>
      </c>
      <c r="N176" s="6">
        <v>126.46</v>
      </c>
      <c r="O176" s="6">
        <v>4568.8500000000004</v>
      </c>
      <c r="P176" s="6">
        <v>1207.4100000000001</v>
      </c>
    </row>
    <row r="177" spans="2:16" s="8" customFormat="1" ht="34.9" hidden="1" customHeight="1">
      <c r="B177" s="15">
        <v>42887</v>
      </c>
      <c r="C177" s="11">
        <v>2932.34</v>
      </c>
      <c r="D177" s="10">
        <v>4376.46</v>
      </c>
      <c r="E177" s="10">
        <v>1985.64</v>
      </c>
      <c r="F177" s="10">
        <v>1624.82</v>
      </c>
      <c r="G177" s="10">
        <v>1913.75</v>
      </c>
      <c r="H177" s="11">
        <v>1556.22</v>
      </c>
      <c r="I177" s="10">
        <v>776.24</v>
      </c>
      <c r="J177" s="10">
        <v>3363.11</v>
      </c>
      <c r="K177" s="10">
        <v>1010.83</v>
      </c>
      <c r="L177" s="10">
        <v>362.56</v>
      </c>
      <c r="M177" s="10">
        <v>602.51</v>
      </c>
      <c r="N177" s="10">
        <v>126.46</v>
      </c>
      <c r="O177" s="10">
        <v>4607.33</v>
      </c>
      <c r="P177" s="10">
        <v>1231.19</v>
      </c>
    </row>
    <row r="178" spans="2:16" s="8" customFormat="1" ht="34.9" hidden="1" customHeight="1">
      <c r="B178" s="14">
        <v>42917</v>
      </c>
      <c r="C178" s="7">
        <v>2920.64</v>
      </c>
      <c r="D178" s="6">
        <v>4368.03</v>
      </c>
      <c r="E178" s="6">
        <v>1968.4</v>
      </c>
      <c r="F178" s="6">
        <v>1612.58</v>
      </c>
      <c r="G178" s="6">
        <v>1871.61</v>
      </c>
      <c r="H178" s="7">
        <v>1514.77</v>
      </c>
      <c r="I178" s="6">
        <v>808.27</v>
      </c>
      <c r="J178" s="6">
        <v>3353.47</v>
      </c>
      <c r="K178" s="6">
        <v>996.13</v>
      </c>
      <c r="L178" s="6">
        <v>371.62</v>
      </c>
      <c r="M178" s="6">
        <v>603.66</v>
      </c>
      <c r="N178" s="6">
        <v>113.38</v>
      </c>
      <c r="O178" s="6">
        <v>4317.49</v>
      </c>
      <c r="P178" s="6">
        <v>1236.67</v>
      </c>
    </row>
    <row r="179" spans="2:16" s="8" customFormat="1" ht="34.9" hidden="1" customHeight="1">
      <c r="B179" s="15">
        <v>42948</v>
      </c>
      <c r="C179" s="11">
        <v>2925.36</v>
      </c>
      <c r="D179" s="10">
        <v>4390.07</v>
      </c>
      <c r="E179" s="10">
        <v>1977.47</v>
      </c>
      <c r="F179" s="10">
        <v>1580.05</v>
      </c>
      <c r="G179" s="10">
        <v>1835.02</v>
      </c>
      <c r="H179" s="11">
        <v>1525.58</v>
      </c>
      <c r="I179" s="10">
        <v>850.99</v>
      </c>
      <c r="J179" s="10">
        <v>3331.46</v>
      </c>
      <c r="K179" s="10">
        <v>984.54</v>
      </c>
      <c r="L179" s="10">
        <v>370.16</v>
      </c>
      <c r="M179" s="10">
        <v>607.80999999999995</v>
      </c>
      <c r="N179" s="10">
        <v>117.74</v>
      </c>
      <c r="O179" s="10">
        <v>4404.03</v>
      </c>
      <c r="P179" s="10">
        <v>1232.71</v>
      </c>
    </row>
    <row r="180" spans="2:16" s="8" customFormat="1" ht="34.9" hidden="1" customHeight="1">
      <c r="B180" s="14">
        <v>42979</v>
      </c>
      <c r="C180" s="7">
        <v>2877.51</v>
      </c>
      <c r="D180" s="6">
        <v>4322.68</v>
      </c>
      <c r="E180" s="6">
        <v>1961.03</v>
      </c>
      <c r="F180" s="6">
        <v>1536.56</v>
      </c>
      <c r="G180" s="6">
        <v>1794.09</v>
      </c>
      <c r="H180" s="7">
        <v>1502.59</v>
      </c>
      <c r="I180" s="6">
        <v>842.46</v>
      </c>
      <c r="J180" s="6">
        <v>3332.9</v>
      </c>
      <c r="K180" s="6">
        <v>983.64</v>
      </c>
      <c r="L180" s="6">
        <v>369.17</v>
      </c>
      <c r="M180" s="6">
        <v>626.79999999999995</v>
      </c>
      <c r="N180" s="6">
        <v>117.74</v>
      </c>
      <c r="O180" s="6">
        <v>4227.51</v>
      </c>
      <c r="P180" s="6">
        <v>1241.8699999999999</v>
      </c>
    </row>
    <row r="181" spans="2:16" s="8" customFormat="1" ht="34.9" hidden="1" customHeight="1">
      <c r="B181" s="15">
        <v>43009</v>
      </c>
      <c r="C181" s="11">
        <v>2839.33</v>
      </c>
      <c r="D181" s="10">
        <v>4267.1499999999996</v>
      </c>
      <c r="E181" s="10">
        <v>1927.87</v>
      </c>
      <c r="F181" s="10">
        <v>1526.77</v>
      </c>
      <c r="G181" s="10">
        <v>1753</v>
      </c>
      <c r="H181" s="11">
        <v>1468.37</v>
      </c>
      <c r="I181" s="10">
        <v>845.7</v>
      </c>
      <c r="J181" s="10">
        <v>3261.78</v>
      </c>
      <c r="K181" s="10">
        <v>954.54</v>
      </c>
      <c r="L181" s="10">
        <v>371.23</v>
      </c>
      <c r="M181" s="10">
        <v>601.46</v>
      </c>
      <c r="N181" s="10">
        <v>102.48</v>
      </c>
      <c r="O181" s="10">
        <v>4046.86</v>
      </c>
      <c r="P181" s="10">
        <v>1286.23</v>
      </c>
    </row>
    <row r="182" spans="2:16" s="8" customFormat="1" ht="34.9" hidden="1" customHeight="1">
      <c r="B182" s="14">
        <v>43040</v>
      </c>
      <c r="C182" s="7">
        <v>2871.83</v>
      </c>
      <c r="D182" s="6">
        <v>4335.88</v>
      </c>
      <c r="E182" s="6">
        <v>1953.75</v>
      </c>
      <c r="F182" s="6">
        <v>1512.56</v>
      </c>
      <c r="G182" s="6">
        <v>1704.72</v>
      </c>
      <c r="H182" s="7">
        <v>1465.56</v>
      </c>
      <c r="I182" s="6">
        <v>855.82</v>
      </c>
      <c r="J182" s="6">
        <v>3253.92</v>
      </c>
      <c r="K182" s="6">
        <v>960.71</v>
      </c>
      <c r="L182" s="6">
        <v>367.35</v>
      </c>
      <c r="M182" s="6">
        <v>633.65</v>
      </c>
      <c r="N182" s="6">
        <v>109.02</v>
      </c>
      <c r="O182" s="6">
        <v>3994.3</v>
      </c>
      <c r="P182" s="6">
        <v>1293.29</v>
      </c>
    </row>
    <row r="183" spans="2:16" s="8" customFormat="1" ht="34.9" hidden="1" customHeight="1">
      <c r="B183" s="15">
        <v>43070</v>
      </c>
      <c r="C183" s="11">
        <v>2881.48</v>
      </c>
      <c r="D183" s="10">
        <v>4367.97</v>
      </c>
      <c r="E183" s="10">
        <v>1953.09</v>
      </c>
      <c r="F183" s="10">
        <v>1470.49</v>
      </c>
      <c r="G183" s="10">
        <v>1676.78</v>
      </c>
      <c r="H183" s="11">
        <v>1449.68</v>
      </c>
      <c r="I183" s="10">
        <v>875.97</v>
      </c>
      <c r="J183" s="10">
        <v>3234.37</v>
      </c>
      <c r="K183" s="10">
        <v>984.99</v>
      </c>
      <c r="L183" s="10">
        <v>356.47</v>
      </c>
      <c r="M183" s="10">
        <v>621.22</v>
      </c>
      <c r="N183" s="10">
        <v>98.12</v>
      </c>
      <c r="O183" s="10">
        <v>3826.49</v>
      </c>
      <c r="P183" s="10">
        <v>1367.14</v>
      </c>
    </row>
    <row r="184" spans="2:16" s="8" customFormat="1" ht="34.9" hidden="1" customHeight="1">
      <c r="B184" s="3">
        <v>2018</v>
      </c>
      <c r="C184" s="13"/>
      <c r="D184" s="12"/>
      <c r="E184" s="12"/>
      <c r="F184" s="12"/>
      <c r="G184" s="12"/>
      <c r="H184" s="13"/>
      <c r="I184" s="12"/>
      <c r="J184" s="12"/>
      <c r="K184" s="12"/>
      <c r="L184" s="12"/>
      <c r="M184" s="12"/>
      <c r="N184" s="12"/>
      <c r="O184" s="12"/>
      <c r="P184" s="12"/>
    </row>
    <row r="185" spans="2:16" s="8" customFormat="1" ht="34.9" hidden="1" customHeight="1">
      <c r="B185" s="14">
        <v>43101</v>
      </c>
      <c r="C185" s="7">
        <v>2917.41</v>
      </c>
      <c r="D185" s="6">
        <v>4445.04</v>
      </c>
      <c r="E185" s="6">
        <v>1927.24</v>
      </c>
      <c r="F185" s="6">
        <v>1458.46</v>
      </c>
      <c r="G185" s="6">
        <v>1640.6</v>
      </c>
      <c r="H185" s="7">
        <v>1496.66</v>
      </c>
      <c r="I185" s="6">
        <v>833.04</v>
      </c>
      <c r="J185" s="6">
        <v>3171.7</v>
      </c>
      <c r="K185" s="6">
        <v>983.56</v>
      </c>
      <c r="L185" s="6">
        <v>374.65</v>
      </c>
      <c r="M185" s="6">
        <v>635.79</v>
      </c>
      <c r="N185" s="6">
        <v>95.94</v>
      </c>
      <c r="O185" s="6">
        <v>3973.81</v>
      </c>
      <c r="P185" s="6">
        <v>1542.15</v>
      </c>
    </row>
    <row r="186" spans="2:16" s="8" customFormat="1" ht="34.9" hidden="1" customHeight="1">
      <c r="B186" s="15">
        <v>43132</v>
      </c>
      <c r="C186" s="11">
        <v>3002.38</v>
      </c>
      <c r="D186" s="10">
        <v>4608.3999999999996</v>
      </c>
      <c r="E186" s="10">
        <v>1920.52</v>
      </c>
      <c r="F186" s="10">
        <v>1450.25</v>
      </c>
      <c r="G186" s="10">
        <v>1602.21</v>
      </c>
      <c r="H186" s="11">
        <v>1516.17</v>
      </c>
      <c r="I186" s="10">
        <v>839.26</v>
      </c>
      <c r="J186" s="10">
        <v>3257.73</v>
      </c>
      <c r="K186" s="10">
        <v>1052.6500000000001</v>
      </c>
      <c r="L186" s="10">
        <v>364.19</v>
      </c>
      <c r="M186" s="10">
        <v>648.87</v>
      </c>
      <c r="N186" s="10">
        <v>89.4</v>
      </c>
      <c r="O186" s="10">
        <v>3985.95</v>
      </c>
      <c r="P186" s="10">
        <v>1543.61</v>
      </c>
    </row>
    <row r="187" spans="2:16" s="8" customFormat="1" ht="34.9" hidden="1" customHeight="1">
      <c r="B187" s="14">
        <v>43160</v>
      </c>
      <c r="C187" s="7">
        <v>3022.49</v>
      </c>
      <c r="D187" s="6">
        <v>4625.82</v>
      </c>
      <c r="E187" s="6">
        <v>1929.15</v>
      </c>
      <c r="F187" s="6">
        <v>1484.1</v>
      </c>
      <c r="G187" s="6">
        <v>1657.62</v>
      </c>
      <c r="H187" s="7">
        <v>1504.73</v>
      </c>
      <c r="I187" s="6">
        <v>862.75</v>
      </c>
      <c r="J187" s="6">
        <v>3233.83</v>
      </c>
      <c r="K187" s="6">
        <v>1051.24</v>
      </c>
      <c r="L187" s="6">
        <v>358.53</v>
      </c>
      <c r="M187" s="6">
        <v>645.52</v>
      </c>
      <c r="N187" s="6">
        <v>82.86</v>
      </c>
      <c r="O187" s="6">
        <v>3915.13</v>
      </c>
      <c r="P187" s="6">
        <v>1560.44</v>
      </c>
    </row>
    <row r="188" spans="2:16" s="8" customFormat="1" ht="34.9" hidden="1" customHeight="1">
      <c r="B188" s="15">
        <v>43191</v>
      </c>
      <c r="C188" s="11">
        <v>3006.9</v>
      </c>
      <c r="D188" s="10">
        <v>4630.2</v>
      </c>
      <c r="E188" s="10">
        <v>1880.2</v>
      </c>
      <c r="F188" s="10">
        <v>1418.8</v>
      </c>
      <c r="G188" s="10">
        <v>1597.7</v>
      </c>
      <c r="H188" s="11">
        <v>1478</v>
      </c>
      <c r="I188" s="10">
        <v>878.2</v>
      </c>
      <c r="J188" s="10">
        <v>3142.1</v>
      </c>
      <c r="K188" s="10">
        <v>1031</v>
      </c>
      <c r="L188" s="10">
        <v>358.1</v>
      </c>
      <c r="M188" s="10">
        <v>610.4</v>
      </c>
      <c r="N188" s="10">
        <v>82.9</v>
      </c>
      <c r="O188" s="10">
        <v>3895.3</v>
      </c>
      <c r="P188" s="10">
        <v>1506.4</v>
      </c>
    </row>
    <row r="189" spans="2:16" s="8" customFormat="1" ht="34.9" hidden="1" customHeight="1">
      <c r="B189" s="14">
        <v>43221</v>
      </c>
      <c r="C189" s="7">
        <v>2829</v>
      </c>
      <c r="D189" s="6">
        <v>4318.6000000000004</v>
      </c>
      <c r="E189" s="6">
        <v>1924.7</v>
      </c>
      <c r="F189" s="6">
        <v>1398.2</v>
      </c>
      <c r="G189" s="6">
        <v>1535.7</v>
      </c>
      <c r="H189" s="7">
        <v>1425.5</v>
      </c>
      <c r="I189" s="6">
        <v>899.6</v>
      </c>
      <c r="J189" s="6">
        <v>3100.5</v>
      </c>
      <c r="K189" s="6">
        <v>1003.2</v>
      </c>
      <c r="L189" s="6">
        <v>342.6</v>
      </c>
      <c r="M189" s="6">
        <v>571.1</v>
      </c>
      <c r="N189" s="6">
        <v>82.9</v>
      </c>
      <c r="O189" s="6">
        <v>3691.6</v>
      </c>
      <c r="P189" s="6">
        <v>1468.1</v>
      </c>
    </row>
    <row r="190" spans="2:16" s="8" customFormat="1" ht="34.9" hidden="1" customHeight="1">
      <c r="B190" s="15">
        <v>43252</v>
      </c>
      <c r="C190" s="11">
        <v>2827.84</v>
      </c>
      <c r="D190" s="10">
        <v>4294.2700000000004</v>
      </c>
      <c r="E190" s="10">
        <v>2228.3000000000002</v>
      </c>
      <c r="F190" s="10">
        <v>1385.73</v>
      </c>
      <c r="G190" s="10">
        <v>1507.88</v>
      </c>
      <c r="H190" s="11">
        <v>1394.49</v>
      </c>
      <c r="I190" s="10">
        <v>936.26</v>
      </c>
      <c r="J190" s="10">
        <v>2962.24</v>
      </c>
      <c r="K190" s="10">
        <v>1064.8599999999999</v>
      </c>
      <c r="L190" s="10">
        <v>341.94</v>
      </c>
      <c r="M190" s="10">
        <v>529.97</v>
      </c>
      <c r="N190" s="10">
        <v>82.9</v>
      </c>
      <c r="O190" s="10">
        <v>3575.69</v>
      </c>
      <c r="P190" s="10">
        <v>1422.4</v>
      </c>
    </row>
    <row r="191" spans="2:16" s="8" customFormat="1" ht="34.9" hidden="1" customHeight="1">
      <c r="B191" s="14">
        <v>43282</v>
      </c>
      <c r="C191" s="7">
        <v>2764.2734388892027</v>
      </c>
      <c r="D191" s="6">
        <v>4206.0117140013162</v>
      </c>
      <c r="E191" s="6">
        <v>2221.963507941613</v>
      </c>
      <c r="F191" s="6">
        <v>1337.8651907353833</v>
      </c>
      <c r="G191" s="6">
        <v>1435.1793987793797</v>
      </c>
      <c r="H191" s="7">
        <v>1346.7022791136035</v>
      </c>
      <c r="I191" s="6">
        <v>892.31769533482475</v>
      </c>
      <c r="J191" s="6">
        <v>2966.0933267932096</v>
      </c>
      <c r="K191" s="6">
        <v>1063.3224760988965</v>
      </c>
      <c r="L191" s="6">
        <v>318.96681277153681</v>
      </c>
      <c r="M191" s="6">
        <v>514.96851607984479</v>
      </c>
      <c r="N191" s="6">
        <v>82.85610982418298</v>
      </c>
      <c r="O191" s="6">
        <v>3356.9096874807287</v>
      </c>
      <c r="P191" s="6">
        <v>1387.3071056785316</v>
      </c>
    </row>
    <row r="192" spans="2:16" s="8" customFormat="1" ht="34.9" hidden="1" customHeight="1">
      <c r="B192" s="15">
        <v>43313</v>
      </c>
      <c r="C192" s="11">
        <v>2748.7</v>
      </c>
      <c r="D192" s="10">
        <v>4179.38</v>
      </c>
      <c r="E192" s="10">
        <v>2221.48</v>
      </c>
      <c r="F192" s="10">
        <v>1355.52</v>
      </c>
      <c r="G192" s="10">
        <v>1409.38</v>
      </c>
      <c r="H192" s="11">
        <v>1340.67</v>
      </c>
      <c r="I192" s="10">
        <v>877.67</v>
      </c>
      <c r="J192" s="10">
        <v>2941.41</v>
      </c>
      <c r="K192" s="10">
        <v>1071.31</v>
      </c>
      <c r="L192" s="10">
        <v>313.91000000000003</v>
      </c>
      <c r="M192" s="10">
        <v>510.59</v>
      </c>
      <c r="N192" s="10">
        <v>82.85610982418298</v>
      </c>
      <c r="O192" s="10">
        <v>3351.68</v>
      </c>
      <c r="P192" s="10">
        <v>1377.96</v>
      </c>
    </row>
    <row r="193" spans="2:16" s="8" customFormat="1" ht="34.9" hidden="1" customHeight="1">
      <c r="B193" s="14">
        <v>43344</v>
      </c>
      <c r="C193" s="7">
        <v>2707.9</v>
      </c>
      <c r="D193" s="6">
        <v>4112.96</v>
      </c>
      <c r="E193" s="6">
        <v>2219.29</v>
      </c>
      <c r="F193" s="6">
        <v>1364.63</v>
      </c>
      <c r="G193" s="6">
        <v>1364.91</v>
      </c>
      <c r="H193" s="7">
        <v>1351.15</v>
      </c>
      <c r="I193" s="6">
        <v>857.05</v>
      </c>
      <c r="J193" s="6">
        <v>2918.98</v>
      </c>
      <c r="K193" s="6">
        <v>1147.6400000000001</v>
      </c>
      <c r="L193" s="6">
        <v>311.02999999999997</v>
      </c>
      <c r="M193" s="6">
        <v>499.5</v>
      </c>
      <c r="N193" s="6">
        <v>65.41</v>
      </c>
      <c r="O193" s="6">
        <v>3358.24</v>
      </c>
      <c r="P193" s="6">
        <v>1403.1</v>
      </c>
    </row>
    <row r="194" spans="2:16" s="8" customFormat="1" ht="34.9" hidden="1" customHeight="1">
      <c r="B194" s="15">
        <v>43374</v>
      </c>
      <c r="C194" s="11">
        <v>2655.01</v>
      </c>
      <c r="D194" s="10">
        <v>3991.92</v>
      </c>
      <c r="E194" s="10">
        <v>2232.4299999999998</v>
      </c>
      <c r="F194" s="10">
        <v>1369.6</v>
      </c>
      <c r="G194" s="10">
        <v>1469.08</v>
      </c>
      <c r="H194" s="11">
        <v>1339.45</v>
      </c>
      <c r="I194" s="10">
        <v>869.39</v>
      </c>
      <c r="J194" s="10">
        <v>2879.86</v>
      </c>
      <c r="K194" s="10">
        <v>1110.1300000000001</v>
      </c>
      <c r="L194" s="10">
        <v>319.99</v>
      </c>
      <c r="M194" s="10">
        <v>498.94</v>
      </c>
      <c r="N194" s="10">
        <v>63.23</v>
      </c>
      <c r="O194" s="10">
        <v>3320.7</v>
      </c>
      <c r="P194" s="10">
        <v>1413.05</v>
      </c>
    </row>
    <row r="195" spans="2:16" s="8" customFormat="1" ht="34.9" hidden="1" customHeight="1">
      <c r="B195" s="14">
        <v>43405</v>
      </c>
      <c r="C195" s="7">
        <v>2566.96</v>
      </c>
      <c r="D195" s="6">
        <v>3884.48</v>
      </c>
      <c r="E195" s="6">
        <v>2149.5700000000002</v>
      </c>
      <c r="F195" s="6">
        <v>1255.04</v>
      </c>
      <c r="G195" s="6">
        <v>1378.62</v>
      </c>
      <c r="H195" s="7">
        <v>1293.05</v>
      </c>
      <c r="I195" s="6">
        <v>907.81</v>
      </c>
      <c r="J195" s="6">
        <v>2840.9</v>
      </c>
      <c r="K195" s="6">
        <v>1111.96</v>
      </c>
      <c r="L195" s="6">
        <v>291.27</v>
      </c>
      <c r="M195" s="6">
        <v>418.06</v>
      </c>
      <c r="N195" s="6">
        <v>56.69</v>
      </c>
      <c r="O195" s="6">
        <v>3202.36</v>
      </c>
      <c r="P195" s="6">
        <v>1340.74</v>
      </c>
    </row>
    <row r="196" spans="2:16" s="8" customFormat="1" ht="34.9" hidden="1" customHeight="1">
      <c r="B196" s="15">
        <v>43435</v>
      </c>
      <c r="C196" s="11">
        <v>2652.69</v>
      </c>
      <c r="D196" s="10">
        <v>4047.83</v>
      </c>
      <c r="E196" s="10">
        <v>2158.84</v>
      </c>
      <c r="F196" s="10">
        <v>1273.3</v>
      </c>
      <c r="G196" s="10">
        <v>1318.13</v>
      </c>
      <c r="H196" s="11">
        <v>1279.8</v>
      </c>
      <c r="I196" s="10">
        <v>858.77</v>
      </c>
      <c r="J196" s="10">
        <v>2851.68</v>
      </c>
      <c r="K196" s="10">
        <v>1110.3399999999999</v>
      </c>
      <c r="L196" s="10">
        <v>292.02999999999997</v>
      </c>
      <c r="M196" s="10">
        <v>426.35</v>
      </c>
      <c r="N196" s="10">
        <v>61.05</v>
      </c>
      <c r="O196" s="10">
        <v>3131.94</v>
      </c>
      <c r="P196" s="10">
        <v>1320.78</v>
      </c>
    </row>
    <row r="197" spans="2:16" s="8" customFormat="1" ht="34.9" hidden="1" customHeight="1">
      <c r="B197" s="3">
        <v>2019</v>
      </c>
      <c r="C197" s="13"/>
      <c r="D197" s="12"/>
      <c r="E197" s="12"/>
      <c r="F197" s="12"/>
      <c r="G197" s="12"/>
      <c r="H197" s="13"/>
      <c r="I197" s="12"/>
      <c r="J197" s="12"/>
      <c r="K197" s="12"/>
      <c r="L197" s="12"/>
      <c r="M197" s="12"/>
      <c r="N197" s="12"/>
      <c r="O197" s="12"/>
      <c r="P197" s="12"/>
    </row>
    <row r="198" spans="2:16" s="8" customFormat="1" ht="34.9" hidden="1" customHeight="1">
      <c r="B198" s="14">
        <v>43466</v>
      </c>
      <c r="C198" s="7">
        <v>2683.41</v>
      </c>
      <c r="D198" s="6">
        <v>4073.05</v>
      </c>
      <c r="E198" s="6">
        <v>2099.2399999999998</v>
      </c>
      <c r="F198" s="6">
        <v>1337.98</v>
      </c>
      <c r="G198" s="6">
        <v>1406.57</v>
      </c>
      <c r="H198" s="7">
        <v>1317.88</v>
      </c>
      <c r="I198" s="6">
        <v>815.03</v>
      </c>
      <c r="J198" s="6">
        <v>2843.17</v>
      </c>
      <c r="K198" s="6">
        <v>1089.45</v>
      </c>
      <c r="L198" s="6">
        <v>297.89999999999998</v>
      </c>
      <c r="M198" s="6">
        <v>456.2</v>
      </c>
      <c r="N198" s="6">
        <v>61.05</v>
      </c>
      <c r="O198" s="6">
        <v>3351.88</v>
      </c>
      <c r="P198" s="6">
        <v>1383.39</v>
      </c>
    </row>
    <row r="199" spans="2:16" s="8" customFormat="1" ht="34.9" hidden="1" customHeight="1">
      <c r="B199" s="15">
        <v>43497</v>
      </c>
      <c r="C199" s="11">
        <v>2745.26</v>
      </c>
      <c r="D199" s="10">
        <v>4180.67</v>
      </c>
      <c r="E199" s="10">
        <v>2168.42</v>
      </c>
      <c r="F199" s="10">
        <v>1325.23</v>
      </c>
      <c r="G199" s="10">
        <v>1413.41</v>
      </c>
      <c r="H199" s="11">
        <v>1330.32</v>
      </c>
      <c r="I199" s="10">
        <v>764.15</v>
      </c>
      <c r="J199" s="10">
        <v>2770.56</v>
      </c>
      <c r="K199" s="10">
        <v>1100.46</v>
      </c>
      <c r="L199" s="10">
        <v>293.08999999999997</v>
      </c>
      <c r="M199" s="10">
        <v>474.49</v>
      </c>
      <c r="N199" s="10">
        <v>52.33</v>
      </c>
      <c r="O199" s="10">
        <v>3486.81</v>
      </c>
      <c r="P199" s="10">
        <v>1381.52</v>
      </c>
    </row>
    <row r="200" spans="2:16" s="8" customFormat="1" ht="34.9" hidden="1" customHeight="1">
      <c r="B200" s="14">
        <v>43525</v>
      </c>
      <c r="C200" s="7">
        <v>2660.71</v>
      </c>
      <c r="D200" s="6">
        <v>4032.43</v>
      </c>
      <c r="E200" s="6">
        <v>2144.27</v>
      </c>
      <c r="F200" s="6">
        <v>1305.8599999999999</v>
      </c>
      <c r="G200" s="6">
        <v>1422.5</v>
      </c>
      <c r="H200" s="7">
        <v>1288.68</v>
      </c>
      <c r="I200" s="6">
        <v>754.06</v>
      </c>
      <c r="J200" s="6">
        <v>2669.77</v>
      </c>
      <c r="K200" s="6">
        <v>1058.82</v>
      </c>
      <c r="L200" s="6">
        <v>290.20999999999998</v>
      </c>
      <c r="M200" s="6">
        <v>455.8</v>
      </c>
      <c r="N200" s="6">
        <v>50.15</v>
      </c>
      <c r="O200" s="6">
        <v>3454.38</v>
      </c>
      <c r="P200" s="6">
        <v>1259.77</v>
      </c>
    </row>
    <row r="201" spans="2:16" s="8" customFormat="1" ht="34.9" hidden="1" customHeight="1">
      <c r="B201" s="15">
        <v>43556</v>
      </c>
      <c r="C201" s="11">
        <v>2533.9899999999998</v>
      </c>
      <c r="D201" s="10">
        <v>3828.44</v>
      </c>
      <c r="E201" s="10">
        <v>2082.38</v>
      </c>
      <c r="F201" s="10">
        <v>1276.18</v>
      </c>
      <c r="G201" s="10">
        <v>1364.15</v>
      </c>
      <c r="H201" s="11">
        <v>1200</v>
      </c>
      <c r="I201" s="10">
        <v>751.17</v>
      </c>
      <c r="J201" s="10">
        <v>2536.25</v>
      </c>
      <c r="K201" s="10">
        <v>1020.75</v>
      </c>
      <c r="L201" s="10">
        <v>276.81</v>
      </c>
      <c r="M201" s="10">
        <v>415.6</v>
      </c>
      <c r="N201" s="10">
        <v>47.97</v>
      </c>
      <c r="O201" s="10">
        <v>3168.15</v>
      </c>
      <c r="P201" s="10">
        <v>1112.3599999999999</v>
      </c>
    </row>
    <row r="202" spans="2:16" s="8" customFormat="1" ht="34.9" hidden="1" customHeight="1">
      <c r="B202" s="14">
        <v>43586</v>
      </c>
      <c r="C202" s="7">
        <v>2501.69</v>
      </c>
      <c r="D202" s="6">
        <v>3766.07</v>
      </c>
      <c r="E202" s="6">
        <v>2074.58</v>
      </c>
      <c r="F202" s="6">
        <v>1261.45</v>
      </c>
      <c r="G202" s="6">
        <v>1398.55</v>
      </c>
      <c r="H202" s="7">
        <v>1231.24</v>
      </c>
      <c r="I202" s="6">
        <v>735.35</v>
      </c>
      <c r="J202" s="6">
        <v>2470.09</v>
      </c>
      <c r="K202" s="6">
        <v>1004.63</v>
      </c>
      <c r="L202" s="6">
        <v>288.11</v>
      </c>
      <c r="M202" s="6">
        <v>423.61</v>
      </c>
      <c r="N202" s="6">
        <v>45.79</v>
      </c>
      <c r="O202" s="6">
        <v>3423.63</v>
      </c>
      <c r="P202" s="6">
        <v>1122.07</v>
      </c>
    </row>
    <row r="203" spans="2:16" s="8" customFormat="1" ht="34.9" hidden="1" customHeight="1">
      <c r="B203" s="15">
        <v>43617</v>
      </c>
      <c r="C203" s="11">
        <v>2575.96</v>
      </c>
      <c r="D203" s="10">
        <v>3873.73</v>
      </c>
      <c r="E203" s="10">
        <v>2071.88</v>
      </c>
      <c r="F203" s="10">
        <v>1301.04</v>
      </c>
      <c r="G203" s="10">
        <v>1479.33</v>
      </c>
      <c r="H203" s="11">
        <v>1309.43</v>
      </c>
      <c r="I203" s="10">
        <v>721.47</v>
      </c>
      <c r="J203" s="10">
        <v>2485.71</v>
      </c>
      <c r="K203" s="10">
        <v>984.63</v>
      </c>
      <c r="L203" s="10">
        <v>300.08999999999997</v>
      </c>
      <c r="M203" s="10">
        <v>438.76</v>
      </c>
      <c r="N203" s="10">
        <v>69.77</v>
      </c>
      <c r="O203" s="10">
        <v>3935.52</v>
      </c>
      <c r="P203" s="10">
        <v>1113.67</v>
      </c>
    </row>
    <row r="204" spans="2:16" s="8" customFormat="1" ht="34.9" hidden="1" customHeight="1">
      <c r="B204" s="14">
        <v>43647</v>
      </c>
      <c r="C204" s="7">
        <v>2536.17</v>
      </c>
      <c r="D204" s="6">
        <v>3791.67</v>
      </c>
      <c r="E204" s="6">
        <v>2071.13</v>
      </c>
      <c r="F204" s="6">
        <v>1280.77</v>
      </c>
      <c r="G204" s="6">
        <v>1551.34</v>
      </c>
      <c r="H204" s="7">
        <v>1331.97</v>
      </c>
      <c r="I204" s="6">
        <v>713.03</v>
      </c>
      <c r="J204" s="6">
        <v>2453.79</v>
      </c>
      <c r="K204" s="6">
        <v>982.18</v>
      </c>
      <c r="L204" s="6">
        <v>307.61</v>
      </c>
      <c r="M204" s="6">
        <v>457.87</v>
      </c>
      <c r="N204" s="6">
        <v>69.77</v>
      </c>
      <c r="O204" s="6">
        <v>4072.2</v>
      </c>
      <c r="P204" s="6">
        <v>1124.18</v>
      </c>
    </row>
    <row r="205" spans="2:16" s="8" customFormat="1" ht="34.9" hidden="1" customHeight="1">
      <c r="B205" s="15">
        <v>43678</v>
      </c>
      <c r="C205" s="11">
        <v>2473.38</v>
      </c>
      <c r="D205" s="10">
        <v>3676.88</v>
      </c>
      <c r="E205" s="10">
        <v>2080</v>
      </c>
      <c r="F205" s="10">
        <v>1286.73</v>
      </c>
      <c r="G205" s="10">
        <v>1553.23</v>
      </c>
      <c r="H205" s="11">
        <v>1306.78</v>
      </c>
      <c r="I205" s="10">
        <v>802.91</v>
      </c>
      <c r="J205" s="10">
        <v>2321.4699999999998</v>
      </c>
      <c r="K205" s="10">
        <v>973.54</v>
      </c>
      <c r="L205" s="10">
        <v>299.45999999999998</v>
      </c>
      <c r="M205" s="10">
        <v>451.44</v>
      </c>
      <c r="N205" s="10">
        <v>61.05</v>
      </c>
      <c r="O205" s="10">
        <v>4002.17</v>
      </c>
      <c r="P205" s="10">
        <v>1102.51</v>
      </c>
    </row>
    <row r="206" spans="2:16" s="8" customFormat="1" ht="34.9" hidden="1" customHeight="1">
      <c r="B206" s="14">
        <v>43709</v>
      </c>
      <c r="C206" s="7">
        <v>2482.77</v>
      </c>
      <c r="D206" s="6">
        <v>3684.72</v>
      </c>
      <c r="E206" s="6">
        <v>2040.18</v>
      </c>
      <c r="F206" s="6">
        <v>1359.48</v>
      </c>
      <c r="G206" s="6">
        <v>1537.78</v>
      </c>
      <c r="H206" s="7">
        <v>1300.02</v>
      </c>
      <c r="I206" s="6">
        <v>817.08</v>
      </c>
      <c r="J206" s="6">
        <v>2295.56</v>
      </c>
      <c r="K206" s="6">
        <v>971.37</v>
      </c>
      <c r="L206" s="6">
        <v>289.83</v>
      </c>
      <c r="M206" s="6">
        <v>443.55</v>
      </c>
      <c r="N206" s="6">
        <v>61.05</v>
      </c>
      <c r="O206" s="6">
        <v>3999.78</v>
      </c>
      <c r="P206" s="6">
        <v>1095.1500000000001</v>
      </c>
    </row>
    <row r="207" spans="2:16" s="8" customFormat="1" ht="34.9" hidden="1" customHeight="1">
      <c r="B207" s="15">
        <v>43739</v>
      </c>
      <c r="C207" s="11">
        <v>2422.92</v>
      </c>
      <c r="D207" s="10">
        <v>3591.87</v>
      </c>
      <c r="E207" s="10">
        <v>2036.93</v>
      </c>
      <c r="F207" s="10">
        <v>1337.02</v>
      </c>
      <c r="G207" s="10">
        <v>1494.81</v>
      </c>
      <c r="H207" s="11">
        <v>1300.95</v>
      </c>
      <c r="I207" s="10">
        <v>871.92</v>
      </c>
      <c r="J207" s="10">
        <v>2267.6</v>
      </c>
      <c r="K207" s="10">
        <v>949.61</v>
      </c>
      <c r="L207" s="10">
        <v>283.73</v>
      </c>
      <c r="M207" s="10">
        <v>439.23</v>
      </c>
      <c r="N207" s="10">
        <v>54.51</v>
      </c>
      <c r="O207" s="10">
        <v>4067.81</v>
      </c>
      <c r="P207" s="10">
        <v>1054.6500000000001</v>
      </c>
    </row>
    <row r="208" spans="2:16" s="8" customFormat="1" ht="34.9" hidden="1" customHeight="1">
      <c r="B208" s="14">
        <v>43770</v>
      </c>
      <c r="C208" s="7">
        <v>2422.19</v>
      </c>
      <c r="D208" s="6">
        <v>3590.21</v>
      </c>
      <c r="E208" s="6">
        <v>2049.66</v>
      </c>
      <c r="F208" s="6">
        <v>1390</v>
      </c>
      <c r="G208" s="6">
        <v>1443.5</v>
      </c>
      <c r="H208" s="7">
        <v>1283.96</v>
      </c>
      <c r="I208" s="6">
        <v>900</v>
      </c>
      <c r="J208" s="6">
        <v>2204.39</v>
      </c>
      <c r="K208" s="6">
        <v>936.22</v>
      </c>
      <c r="L208" s="6">
        <v>283.60000000000002</v>
      </c>
      <c r="M208" s="6">
        <v>427.46</v>
      </c>
      <c r="N208" s="6">
        <v>54.51</v>
      </c>
      <c r="O208" s="6">
        <v>4011.25</v>
      </c>
      <c r="P208" s="6">
        <v>1055.55</v>
      </c>
    </row>
    <row r="209" spans="2:16" s="8" customFormat="1" ht="34.9" hidden="1" customHeight="1">
      <c r="B209" s="15">
        <v>43800</v>
      </c>
      <c r="C209" s="11">
        <v>2449.96</v>
      </c>
      <c r="D209" s="10">
        <v>3648.25</v>
      </c>
      <c r="E209" s="10">
        <v>1997.35</v>
      </c>
      <c r="F209" s="10">
        <v>1342.8</v>
      </c>
      <c r="G209" s="10">
        <v>1464.22</v>
      </c>
      <c r="H209" s="11">
        <v>1293.04</v>
      </c>
      <c r="I209" s="10">
        <v>912.62</v>
      </c>
      <c r="J209" s="10">
        <v>2165.39</v>
      </c>
      <c r="K209" s="10">
        <v>981.06</v>
      </c>
      <c r="L209" s="10">
        <v>286.32</v>
      </c>
      <c r="M209" s="10">
        <v>433.21</v>
      </c>
      <c r="N209" s="10">
        <v>52.33</v>
      </c>
      <c r="O209" s="10">
        <v>3995.16</v>
      </c>
      <c r="P209" s="10">
        <v>1116.51</v>
      </c>
    </row>
    <row r="210" spans="2:16" s="8" customFormat="1" ht="34.9" hidden="1" customHeight="1">
      <c r="B210" s="3">
        <v>2020</v>
      </c>
      <c r="C210" s="13"/>
      <c r="D210" s="12"/>
      <c r="E210" s="12"/>
      <c r="F210" s="12"/>
      <c r="G210" s="12"/>
      <c r="H210" s="13"/>
      <c r="I210" s="12"/>
      <c r="J210" s="12"/>
      <c r="K210" s="12"/>
      <c r="L210" s="12"/>
      <c r="M210" s="12"/>
      <c r="N210" s="12"/>
      <c r="O210" s="12"/>
      <c r="P210" s="12"/>
    </row>
    <row r="211" spans="2:16" s="8" customFormat="1" ht="34.9" hidden="1" customHeight="1">
      <c r="B211" s="14">
        <v>43831</v>
      </c>
      <c r="C211" s="7">
        <v>2517.3268466505474</v>
      </c>
      <c r="D211" s="6">
        <v>3755.6321414426425</v>
      </c>
      <c r="E211" s="6">
        <v>2073.5048794715599</v>
      </c>
      <c r="F211" s="6">
        <v>1351.1496437450428</v>
      </c>
      <c r="G211" s="6">
        <v>1489.3806963899785</v>
      </c>
      <c r="H211" s="7">
        <v>1328.1256858126978</v>
      </c>
      <c r="I211" s="6">
        <v>900.67902576566439</v>
      </c>
      <c r="J211" s="6">
        <v>2258.2853018204105</v>
      </c>
      <c r="K211" s="6">
        <v>957.56600793680229</v>
      </c>
      <c r="L211" s="6">
        <v>293.96653727551012</v>
      </c>
      <c r="M211" s="6">
        <v>451.23295538373418</v>
      </c>
      <c r="N211" s="6">
        <v>63.232294339508073</v>
      </c>
      <c r="O211" s="6">
        <v>4159.8377306115062</v>
      </c>
      <c r="P211" s="6">
        <v>1123.3608222001415</v>
      </c>
    </row>
    <row r="212" spans="2:16" s="8" customFormat="1" ht="34.9" hidden="1" customHeight="1">
      <c r="B212" s="15">
        <v>43862</v>
      </c>
      <c r="C212" s="11">
        <v>2453.8642975491816</v>
      </c>
      <c r="D212" s="10">
        <v>3654.8079039895824</v>
      </c>
      <c r="E212" s="10">
        <v>2059.5002289021386</v>
      </c>
      <c r="F212" s="10">
        <v>1339.9845952470687</v>
      </c>
      <c r="G212" s="10">
        <v>1448.404333355408</v>
      </c>
      <c r="H212" s="11">
        <v>1323.7488307629144</v>
      </c>
      <c r="I212" s="10">
        <v>886.69206779932517</v>
      </c>
      <c r="J212" s="10">
        <v>2232.4838768418354</v>
      </c>
      <c r="K212" s="10">
        <v>917.68458967108552</v>
      </c>
      <c r="L212" s="10">
        <v>291.73789174326214</v>
      </c>
      <c r="M212" s="10">
        <v>448.65793433357823</v>
      </c>
      <c r="N212" s="10">
        <v>54.51059856854144</v>
      </c>
      <c r="O212" s="10">
        <v>4176.9040975700036</v>
      </c>
      <c r="P212" s="10">
        <v>1160.0357013742741</v>
      </c>
    </row>
    <row r="213" spans="2:16" s="8" customFormat="1" ht="34.9" hidden="1" customHeight="1">
      <c r="B213" s="14" t="s">
        <v>129</v>
      </c>
      <c r="C213" s="7">
        <v>2196.0859936307934</v>
      </c>
      <c r="D213" s="6">
        <v>3239.8010719767626</v>
      </c>
      <c r="E213" s="6">
        <v>2014.2224987556801</v>
      </c>
      <c r="F213" s="6">
        <v>1262.2680126930927</v>
      </c>
      <c r="G213" s="6">
        <v>1332.2420145703995</v>
      </c>
      <c r="H213" s="7">
        <v>1214.4722807584817</v>
      </c>
      <c r="I213" s="6">
        <v>856.54189538633307</v>
      </c>
      <c r="J213" s="6">
        <v>2239.6634037923955</v>
      </c>
      <c r="K213" s="6">
        <v>854.89379303664987</v>
      </c>
      <c r="L213" s="6">
        <v>258.26932254866381</v>
      </c>
      <c r="M213" s="6">
        <v>412.98530938541734</v>
      </c>
      <c r="N213" s="6">
        <v>54.51059856854144</v>
      </c>
      <c r="O213" s="6">
        <v>3633.1654884161921</v>
      </c>
      <c r="P213" s="6">
        <v>1164.9856985586891</v>
      </c>
    </row>
    <row r="214" spans="2:16" s="8" customFormat="1" ht="34.9" hidden="1" customHeight="1">
      <c r="B214" s="15">
        <v>43952</v>
      </c>
      <c r="C214" s="11">
        <v>2160.3200000000002</v>
      </c>
      <c r="D214" s="10">
        <v>3179.11</v>
      </c>
      <c r="E214" s="10">
        <v>2035.63</v>
      </c>
      <c r="F214" s="10">
        <v>1245.55</v>
      </c>
      <c r="G214" s="10">
        <v>1329.78</v>
      </c>
      <c r="H214" s="11">
        <v>1202.1300000000001</v>
      </c>
      <c r="I214" s="10">
        <v>835.01</v>
      </c>
      <c r="J214" s="10">
        <v>2210.37</v>
      </c>
      <c r="K214" s="10">
        <v>792.85</v>
      </c>
      <c r="L214" s="10">
        <v>240.21</v>
      </c>
      <c r="M214" s="10">
        <v>418.14</v>
      </c>
      <c r="N214" s="10">
        <v>52.33</v>
      </c>
      <c r="O214" s="10">
        <v>3701.71</v>
      </c>
      <c r="P214" s="10">
        <v>1120.2</v>
      </c>
    </row>
    <row r="215" spans="2:16" s="8" customFormat="1" ht="34.9" hidden="1" customHeight="1">
      <c r="B215" s="14">
        <v>43983</v>
      </c>
      <c r="C215" s="7">
        <v>2116.21</v>
      </c>
      <c r="D215" s="6">
        <v>3100.28</v>
      </c>
      <c r="E215" s="6">
        <v>2037.11</v>
      </c>
      <c r="F215" s="6">
        <v>1237.6199999999999</v>
      </c>
      <c r="G215" s="6">
        <v>1334.74</v>
      </c>
      <c r="H215" s="7">
        <v>1166.23</v>
      </c>
      <c r="I215" s="6">
        <v>825.55</v>
      </c>
      <c r="J215" s="6">
        <v>2097.0700000000002</v>
      </c>
      <c r="K215" s="6">
        <v>767.42</v>
      </c>
      <c r="L215" s="6">
        <v>246.09</v>
      </c>
      <c r="M215" s="6">
        <v>407.27</v>
      </c>
      <c r="N215" s="6">
        <v>47.97</v>
      </c>
      <c r="O215" s="6">
        <v>3627.09</v>
      </c>
      <c r="P215" s="6">
        <v>1034.1199999999999</v>
      </c>
    </row>
    <row r="216" spans="2:16" s="8" customFormat="1" ht="34.9" hidden="1" customHeight="1">
      <c r="B216" s="15">
        <v>44013</v>
      </c>
      <c r="C216" s="11">
        <v>2103.9495894686138</v>
      </c>
      <c r="D216" s="10">
        <v>3045.4600806549515</v>
      </c>
      <c r="E216" s="10">
        <v>2037.0176787033597</v>
      </c>
      <c r="F216" s="10">
        <v>1332.1468893467691</v>
      </c>
      <c r="G216" s="10">
        <v>1411.6932789286354</v>
      </c>
      <c r="H216" s="11">
        <v>1122.6539541645607</v>
      </c>
      <c r="I216" s="10">
        <v>802.21573472295393</v>
      </c>
      <c r="J216" s="10">
        <v>1981.8685284412466</v>
      </c>
      <c r="K216" s="10">
        <v>781.68824166737181</v>
      </c>
      <c r="L216" s="10">
        <v>240.5750602026888</v>
      </c>
      <c r="M216" s="10">
        <v>397.033912320051</v>
      </c>
      <c r="N216" s="10">
        <v>52.330174625799785</v>
      </c>
      <c r="O216" s="10">
        <v>3404.724199182765</v>
      </c>
      <c r="P216" s="10">
        <v>1066.6033699124564</v>
      </c>
    </row>
    <row r="217" spans="2:16" s="8" customFormat="1" ht="34.9" hidden="1" customHeight="1">
      <c r="B217" s="14">
        <v>44044</v>
      </c>
      <c r="C217" s="7">
        <v>2090.8670767509234</v>
      </c>
      <c r="D217" s="6">
        <v>3039.8734922233398</v>
      </c>
      <c r="E217" s="6">
        <v>2008.8210928143633</v>
      </c>
      <c r="F217" s="6">
        <v>1298.1145901560076</v>
      </c>
      <c r="G217" s="6">
        <v>1367.6166254035572</v>
      </c>
      <c r="H217" s="7">
        <v>1115.2232243366389</v>
      </c>
      <c r="I217" s="6">
        <v>781.35983490236254</v>
      </c>
      <c r="J217" s="6">
        <v>2015.8964947173381</v>
      </c>
      <c r="K217" s="6">
        <v>753.90909021740026</v>
      </c>
      <c r="L217" s="6">
        <v>241.0798569390758</v>
      </c>
      <c r="M217" s="6">
        <v>396.77984357643561</v>
      </c>
      <c r="N217" s="6">
        <v>50.14975068305813</v>
      </c>
      <c r="O217" s="6">
        <v>3353.8914964099745</v>
      </c>
      <c r="P217" s="6">
        <v>1088.0808970356898</v>
      </c>
    </row>
    <row r="218" spans="2:16" s="8" customFormat="1" ht="34.9" hidden="1" customHeight="1">
      <c r="B218" s="15">
        <v>44075</v>
      </c>
      <c r="C218" s="11">
        <v>2124.2882028465392</v>
      </c>
      <c r="D218" s="10">
        <v>3084.8200180551257</v>
      </c>
      <c r="E218" s="10">
        <v>1996.063751436242</v>
      </c>
      <c r="F218" s="10">
        <v>1334.3557070972936</v>
      </c>
      <c r="G218" s="10">
        <v>1414.2020639226562</v>
      </c>
      <c r="H218" s="11">
        <v>1098.315638996095</v>
      </c>
      <c r="I218" s="10">
        <v>689.34849479899924</v>
      </c>
      <c r="J218" s="10">
        <v>2012.2768165464308</v>
      </c>
      <c r="K218" s="10">
        <v>787.86782437407203</v>
      </c>
      <c r="L218" s="10">
        <v>250.37818470498553</v>
      </c>
      <c r="M218" s="10">
        <v>427.85863097111826</v>
      </c>
      <c r="N218" s="10">
        <v>50.14975068305813</v>
      </c>
      <c r="O218" s="10">
        <v>3210.0657534796046</v>
      </c>
      <c r="P218" s="10">
        <v>1095.7771139283848</v>
      </c>
    </row>
    <row r="219" spans="2:16" s="8" customFormat="1" ht="34.9" hidden="1" customHeight="1">
      <c r="B219" s="14">
        <v>44105</v>
      </c>
      <c r="C219" s="7">
        <v>2061.2964051379599</v>
      </c>
      <c r="D219" s="6">
        <v>2976.3477688601406</v>
      </c>
      <c r="E219" s="6">
        <v>1981.1385973718811</v>
      </c>
      <c r="F219" s="6">
        <v>1333.6978202086991</v>
      </c>
      <c r="G219" s="6">
        <v>1400.8507029148423</v>
      </c>
      <c r="H219" s="7">
        <v>1082.2896436013286</v>
      </c>
      <c r="I219" s="6">
        <v>725.44859401851352</v>
      </c>
      <c r="J219" s="6">
        <v>2048.9073613421006</v>
      </c>
      <c r="K219" s="6">
        <v>767.44072731944902</v>
      </c>
      <c r="L219" s="6">
        <v>248.74545473827536</v>
      </c>
      <c r="M219" s="6">
        <v>433.88761358988347</v>
      </c>
      <c r="N219" s="6">
        <v>50.14975068305813</v>
      </c>
      <c r="O219" s="6">
        <v>3140.3559683380777</v>
      </c>
      <c r="P219" s="6">
        <v>1024.958948113609</v>
      </c>
    </row>
    <row r="220" spans="2:16" s="8" customFormat="1" ht="34.9" hidden="1" customHeight="1">
      <c r="B220" s="15">
        <v>44136</v>
      </c>
      <c r="C220" s="11">
        <v>2076.4788981693196</v>
      </c>
      <c r="D220" s="10">
        <v>3001.4039709280501</v>
      </c>
      <c r="E220" s="10">
        <v>2006.2226511491492</v>
      </c>
      <c r="F220" s="10">
        <v>1327.816819796521</v>
      </c>
      <c r="G220" s="10">
        <v>1404.6164988373473</v>
      </c>
      <c r="H220" s="11">
        <v>1100.8165181631623</v>
      </c>
      <c r="I220" s="10">
        <v>710.39008348093159</v>
      </c>
      <c r="J220" s="10">
        <v>2038.1629998292833</v>
      </c>
      <c r="K220" s="10">
        <v>800.88504253425253</v>
      </c>
      <c r="L220" s="10">
        <v>246.83666749610288</v>
      </c>
      <c r="M220" s="10">
        <v>461.27210411794232</v>
      </c>
      <c r="N220" s="10">
        <v>50.14975068305813</v>
      </c>
      <c r="O220" s="10">
        <v>3202.5534120374409</v>
      </c>
      <c r="P220" s="10">
        <v>1045.2312157015372</v>
      </c>
    </row>
    <row r="221" spans="2:16" s="8" customFormat="1" ht="34.9" hidden="1" customHeight="1">
      <c r="B221" s="14">
        <v>44166</v>
      </c>
      <c r="C221" s="7">
        <v>2171.6535004980828</v>
      </c>
      <c r="D221" s="6">
        <v>3153.6908427623166</v>
      </c>
      <c r="E221" s="6">
        <v>1988.9734085661316</v>
      </c>
      <c r="F221" s="6">
        <v>1338.7846561828621</v>
      </c>
      <c r="G221" s="6">
        <v>1491.3996030446356</v>
      </c>
      <c r="H221" s="7">
        <v>1148.0149821898995</v>
      </c>
      <c r="I221" s="6">
        <v>787.1480725880723</v>
      </c>
      <c r="J221" s="6">
        <v>2282.6059493654325</v>
      </c>
      <c r="K221" s="6">
        <v>812.42331864282937</v>
      </c>
      <c r="L221" s="6">
        <v>256.58129861047996</v>
      </c>
      <c r="M221" s="6">
        <v>465.54320569980104</v>
      </c>
      <c r="N221" s="6">
        <v>50.14975068305813</v>
      </c>
      <c r="O221" s="6">
        <v>3303.4779844390641</v>
      </c>
      <c r="P221" s="6">
        <v>1035.8546220268529</v>
      </c>
    </row>
    <row r="222" spans="2:16" s="8" customFormat="1" ht="34.9" hidden="1" customHeight="1">
      <c r="B222" s="3">
        <v>2021</v>
      </c>
      <c r="C222" s="13"/>
      <c r="D222" s="12"/>
      <c r="E222" s="12"/>
      <c r="F222" s="12"/>
      <c r="G222" s="12"/>
      <c r="H222" s="13"/>
      <c r="I222" s="12"/>
      <c r="J222" s="12"/>
      <c r="K222" s="12"/>
      <c r="L222" s="12"/>
      <c r="M222" s="12"/>
      <c r="N222" s="12"/>
      <c r="O222" s="12"/>
      <c r="P222" s="12"/>
    </row>
    <row r="223" spans="2:16" s="8" customFormat="1" ht="34.9" hidden="1" customHeight="1">
      <c r="B223" s="14">
        <v>44197</v>
      </c>
      <c r="C223" s="7">
        <v>2277.4874025952013</v>
      </c>
      <c r="D223" s="6">
        <v>3328.1943171203666</v>
      </c>
      <c r="E223" s="6">
        <v>1923.8916195544841</v>
      </c>
      <c r="F223" s="6">
        <v>1372.8368014822888</v>
      </c>
      <c r="G223" s="6">
        <v>1566.7836021929056</v>
      </c>
      <c r="H223" s="7">
        <v>1148.4050790486574</v>
      </c>
      <c r="I223" s="6">
        <v>772.57577755864372</v>
      </c>
      <c r="J223" s="6">
        <v>2289.3018554033506</v>
      </c>
      <c r="K223" s="6">
        <v>826.8145109224389</v>
      </c>
      <c r="L223" s="6">
        <v>282.46279467924512</v>
      </c>
      <c r="M223" s="6">
        <v>477.91704018615064</v>
      </c>
      <c r="N223" s="6">
        <v>50.14975068305813</v>
      </c>
      <c r="O223" s="6">
        <v>3191.3326694867787</v>
      </c>
      <c r="P223" s="6">
        <v>1113.5883582613042</v>
      </c>
    </row>
    <row r="224" spans="2:16" s="8" customFormat="1" ht="34.9" hidden="1" customHeight="1">
      <c r="B224" s="15">
        <v>44228</v>
      </c>
      <c r="C224" s="11">
        <v>2255.7079464026201</v>
      </c>
      <c r="D224" s="10">
        <v>3302.5682323507535</v>
      </c>
      <c r="E224" s="10">
        <v>1898.3920684902134</v>
      </c>
      <c r="F224" s="10">
        <v>1365.534656704504</v>
      </c>
      <c r="G224" s="10">
        <v>1518.7213423865869</v>
      </c>
      <c r="H224" s="11">
        <v>1201.8572466745286</v>
      </c>
      <c r="I224" s="10">
        <v>768.30522896061871</v>
      </c>
      <c r="J224" s="10">
        <v>2299.6922263512442</v>
      </c>
      <c r="K224" s="10">
        <v>787.41721134228146</v>
      </c>
      <c r="L224" s="10">
        <v>278.44829496840515</v>
      </c>
      <c r="M224" s="10">
        <v>483.38295153528173</v>
      </c>
      <c r="N224" s="10">
        <v>50.14975068305813</v>
      </c>
      <c r="O224" s="10">
        <v>3578.018448831127</v>
      </c>
      <c r="P224" s="10">
        <v>1088.2264769508561</v>
      </c>
    </row>
    <row r="225" spans="2:16" s="8" customFormat="1" ht="34.9" hidden="1" customHeight="1">
      <c r="B225" s="14">
        <v>44256</v>
      </c>
      <c r="C225" s="7">
        <v>2238.2203369719491</v>
      </c>
      <c r="D225" s="6">
        <v>3260.3093287233919</v>
      </c>
      <c r="E225" s="6">
        <v>1858.7028114883744</v>
      </c>
      <c r="F225" s="6">
        <v>1382.6815150566874</v>
      </c>
      <c r="G225" s="6">
        <v>1578.3865603589575</v>
      </c>
      <c r="H225" s="7">
        <v>1181.7041839279548</v>
      </c>
      <c r="I225" s="6">
        <v>725.49937062288654</v>
      </c>
      <c r="J225" s="6">
        <v>2322.0783902456988</v>
      </c>
      <c r="K225" s="6">
        <v>756.8557411571652</v>
      </c>
      <c r="L225" s="6">
        <v>279.63159190910528</v>
      </c>
      <c r="M225" s="6">
        <v>476.85269815208613</v>
      </c>
      <c r="N225" s="6">
        <v>50.14975068305813</v>
      </c>
      <c r="O225" s="6">
        <v>3527.2784289711199</v>
      </c>
      <c r="P225" s="6">
        <v>1032.3767834811488</v>
      </c>
    </row>
    <row r="226" spans="2:16" s="8" customFormat="1" ht="34.9" hidden="1" customHeight="1">
      <c r="B226" s="15">
        <v>44287</v>
      </c>
      <c r="C226" s="11">
        <v>2247.2221036674355</v>
      </c>
      <c r="D226" s="10">
        <v>3303.3998867718742</v>
      </c>
      <c r="E226" s="10">
        <v>1822.9302880915773</v>
      </c>
      <c r="F226" s="10">
        <v>1288.109207067035</v>
      </c>
      <c r="G226" s="10">
        <v>1550.3385287910639</v>
      </c>
      <c r="H226" s="11">
        <v>1212.8609933823718</v>
      </c>
      <c r="I226" s="10">
        <v>710.76677503430369</v>
      </c>
      <c r="J226" s="10">
        <v>2319.909574812717</v>
      </c>
      <c r="K226" s="10">
        <v>755.17424087683264</v>
      </c>
      <c r="L226" s="10">
        <v>273.13567006859023</v>
      </c>
      <c r="M226" s="10">
        <v>476.85269815208613</v>
      </c>
      <c r="N226" s="10">
        <v>50.14975068305813</v>
      </c>
      <c r="O226" s="10">
        <v>3721.5131334045354</v>
      </c>
      <c r="P226" s="10">
        <v>1058.6774803293222</v>
      </c>
    </row>
    <row r="227" spans="2:16" s="8" customFormat="1" ht="34.9" hidden="1" customHeight="1">
      <c r="B227" s="14">
        <v>44317</v>
      </c>
      <c r="C227" s="7">
        <v>2541.1286043349792</v>
      </c>
      <c r="D227" s="6">
        <v>3786.412897953865</v>
      </c>
      <c r="E227" s="6">
        <v>1861.2352783996701</v>
      </c>
      <c r="F227" s="6">
        <v>1345.2757949802531</v>
      </c>
      <c r="G227" s="6">
        <v>1706.5205239922154</v>
      </c>
      <c r="H227" s="7">
        <v>1330.4583023234243</v>
      </c>
      <c r="I227" s="6">
        <v>742.64975917551101</v>
      </c>
      <c r="J227" s="6">
        <v>2265.19061072772</v>
      </c>
      <c r="K227" s="6">
        <v>827.45713000771843</v>
      </c>
      <c r="L227" s="6">
        <v>290.20353766464268</v>
      </c>
      <c r="M227" s="6">
        <v>604.22353937700177</v>
      </c>
      <c r="N227" s="6">
        <v>50.14975068305813</v>
      </c>
      <c r="O227" s="6">
        <v>4220.7528403312681</v>
      </c>
      <c r="P227" s="6">
        <v>1140.2156278380669</v>
      </c>
    </row>
    <row r="228" spans="2:16" s="8" customFormat="1" ht="34.9" hidden="1" customHeight="1">
      <c r="B228" s="15">
        <v>44348</v>
      </c>
      <c r="C228" s="11">
        <v>2554.7185532007434</v>
      </c>
      <c r="D228" s="10">
        <v>3797.874521944058</v>
      </c>
      <c r="E228" s="10">
        <v>1903.4028625212241</v>
      </c>
      <c r="F228" s="10">
        <v>1441.4532771003971</v>
      </c>
      <c r="G228" s="10">
        <v>1662.9801154927782</v>
      </c>
      <c r="H228" s="11">
        <v>1324.5589368277917</v>
      </c>
      <c r="I228" s="10">
        <v>712.88669826687783</v>
      </c>
      <c r="J228" s="10">
        <v>2348.4282513107746</v>
      </c>
      <c r="K228" s="10">
        <v>808.8576000536292</v>
      </c>
      <c r="L228" s="10">
        <v>282.66013689835842</v>
      </c>
      <c r="M228" s="10">
        <v>613.58288255396883</v>
      </c>
      <c r="N228" s="10">
        <v>50.14975068305813</v>
      </c>
      <c r="O228" s="10">
        <v>4215.8060139260497</v>
      </c>
      <c r="P228" s="10">
        <v>1070.0251751989192</v>
      </c>
    </row>
    <row r="229" spans="2:16" s="8" customFormat="1" ht="34.9" hidden="1" customHeight="1">
      <c r="B229" s="14">
        <v>44378</v>
      </c>
      <c r="C229" s="7">
        <v>2519.5030140409549</v>
      </c>
      <c r="D229" s="6">
        <v>3748.4733075294257</v>
      </c>
      <c r="E229" s="6">
        <v>1841.1004480837498</v>
      </c>
      <c r="F229" s="6">
        <v>1413.7803482482461</v>
      </c>
      <c r="G229" s="6">
        <v>1649.6166134359412</v>
      </c>
      <c r="H229" s="7">
        <v>1311.0403913306752</v>
      </c>
      <c r="I229" s="6">
        <v>750.35068069687713</v>
      </c>
      <c r="J229" s="6">
        <v>2254.6781538716896</v>
      </c>
      <c r="K229" s="6">
        <v>813.82576355323238</v>
      </c>
      <c r="L229" s="6">
        <v>271.69910082549029</v>
      </c>
      <c r="M229" s="6">
        <v>608.43284045365681</v>
      </c>
      <c r="N229" s="6">
        <v>50.14975068305813</v>
      </c>
      <c r="O229" s="6">
        <v>4193.4290636539727</v>
      </c>
      <c r="P229" s="6">
        <v>1058.449467267272</v>
      </c>
    </row>
    <row r="230" spans="2:16" s="8" customFormat="1" ht="34.9" hidden="1" customHeight="1">
      <c r="B230" s="15">
        <v>44409</v>
      </c>
      <c r="C230" s="11">
        <v>2516.243648814494</v>
      </c>
      <c r="D230" s="10">
        <v>3753.2262954304979</v>
      </c>
      <c r="E230" s="10">
        <v>1807.5891546528758</v>
      </c>
      <c r="F230" s="10">
        <v>1374.0515764098288</v>
      </c>
      <c r="G230" s="10">
        <v>1649.6831014808672</v>
      </c>
      <c r="H230" s="11">
        <v>1296.1802718948509</v>
      </c>
      <c r="I230" s="10">
        <v>764.49285065321544</v>
      </c>
      <c r="J230" s="10">
        <v>2265.5104593945766</v>
      </c>
      <c r="K230" s="10">
        <v>812.88591560844861</v>
      </c>
      <c r="L230" s="10">
        <v>262.60742283086029</v>
      </c>
      <c r="M230" s="10">
        <v>580.10760890194103</v>
      </c>
      <c r="N230" s="10">
        <v>50.14975068305813</v>
      </c>
      <c r="O230" s="10">
        <v>4143.0291182756018</v>
      </c>
      <c r="P230" s="10">
        <v>1035.4841933876976</v>
      </c>
    </row>
    <row r="231" spans="2:16" s="8" customFormat="1" ht="34.9" hidden="1" customHeight="1">
      <c r="B231" s="14">
        <v>44440</v>
      </c>
      <c r="C231" s="7">
        <v>2530.0144797085572</v>
      </c>
      <c r="D231" s="6">
        <v>3737.7725336007361</v>
      </c>
      <c r="E231" s="6">
        <v>2119.0254706328765</v>
      </c>
      <c r="F231" s="6">
        <v>1370.604006742079</v>
      </c>
      <c r="G231" s="6">
        <v>1700.6705202849105</v>
      </c>
      <c r="H231" s="7">
        <v>1294.6659963852437</v>
      </c>
      <c r="I231" s="6">
        <v>801.10721059841478</v>
      </c>
      <c r="J231" s="6">
        <v>2337.4400852767685</v>
      </c>
      <c r="K231" s="6">
        <v>806.28829586042298</v>
      </c>
      <c r="L231" s="6">
        <v>261.0023475850374</v>
      </c>
      <c r="M231" s="6">
        <v>576.84591557174338</v>
      </c>
      <c r="N231" s="6">
        <v>50.14975068305813</v>
      </c>
      <c r="O231" s="6">
        <v>4086.7744017747082</v>
      </c>
      <c r="P231" s="6">
        <v>1038.4402156585413</v>
      </c>
    </row>
    <row r="232" spans="2:16" s="8" customFormat="1" ht="34.9" hidden="1" customHeight="1">
      <c r="B232" s="15">
        <v>44470</v>
      </c>
      <c r="C232" s="11">
        <v>2577.3139216318846</v>
      </c>
      <c r="D232" s="10">
        <v>3827.2488880110609</v>
      </c>
      <c r="E232" s="10">
        <v>2086.9193136424055</v>
      </c>
      <c r="F232" s="10">
        <v>1368.4420561589582</v>
      </c>
      <c r="G232" s="10">
        <v>1694.1500739832104</v>
      </c>
      <c r="H232" s="11">
        <v>1352.2692196959929</v>
      </c>
      <c r="I232" s="10">
        <v>793.55182899539705</v>
      </c>
      <c r="J232" s="10">
        <v>2524.4726986215787</v>
      </c>
      <c r="K232" s="10">
        <v>844.96518751082908</v>
      </c>
      <c r="L232" s="10">
        <v>271.90237655030535</v>
      </c>
      <c r="M232" s="10">
        <v>616.60424058615195</v>
      </c>
      <c r="N232" s="10">
        <v>50.14975068305813</v>
      </c>
      <c r="O232" s="10">
        <v>4285.9626669121399</v>
      </c>
      <c r="P232" s="10">
        <v>1008.3814327797576</v>
      </c>
    </row>
    <row r="233" spans="2:16" s="8" customFormat="1" ht="34.9" hidden="1" customHeight="1">
      <c r="B233" s="14">
        <v>44501</v>
      </c>
      <c r="C233" s="7">
        <v>2506.523748960597</v>
      </c>
      <c r="D233" s="6">
        <v>3718.0864935934255</v>
      </c>
      <c r="E233" s="6">
        <v>1978.4127498481866</v>
      </c>
      <c r="F233" s="6">
        <v>1367.6731623700566</v>
      </c>
      <c r="G233" s="6">
        <v>1658.8598035637219</v>
      </c>
      <c r="H233" s="7">
        <v>1318.8527816042342</v>
      </c>
      <c r="I233" s="6">
        <v>750.15820194076537</v>
      </c>
      <c r="J233" s="6">
        <v>2565.4640130463163</v>
      </c>
      <c r="K233" s="6">
        <v>789.09479726983352</v>
      </c>
      <c r="L233" s="6">
        <v>280.21027670394193</v>
      </c>
      <c r="M233" s="6">
        <v>579.23553510628813</v>
      </c>
      <c r="N233" s="6">
        <v>50.14975068305813</v>
      </c>
      <c r="O233" s="6">
        <v>4115.9968247480974</v>
      </c>
      <c r="P233" s="6">
        <v>1041.3545388238301</v>
      </c>
    </row>
    <row r="234" spans="2:16" s="8" customFormat="1" ht="34.9" hidden="1" customHeight="1">
      <c r="B234" s="15">
        <v>44531</v>
      </c>
      <c r="C234" s="11">
        <v>2604.4636666529068</v>
      </c>
      <c r="D234" s="10">
        <v>3894.838925484029</v>
      </c>
      <c r="E234" s="10">
        <v>1929.0361362649301</v>
      </c>
      <c r="F234" s="10">
        <v>1363.2141083930796</v>
      </c>
      <c r="G234" s="10">
        <v>1679.8039577177021</v>
      </c>
      <c r="H234" s="11">
        <v>1327.4205470300733</v>
      </c>
      <c r="I234" s="10">
        <v>750.50684827660587</v>
      </c>
      <c r="J234" s="10">
        <v>2549.0986593786456</v>
      </c>
      <c r="K234" s="10">
        <v>797.21254521126116</v>
      </c>
      <c r="L234" s="10">
        <v>294.69071459831787</v>
      </c>
      <c r="M234" s="10">
        <v>603.79093584057568</v>
      </c>
      <c r="N234" s="10">
        <v>50.14975068305813</v>
      </c>
      <c r="O234" s="10">
        <v>4199.6043136972467</v>
      </c>
      <c r="P234" s="10">
        <v>953.5320025721536</v>
      </c>
    </row>
    <row r="235" spans="2:16" s="8" customFormat="1" ht="34.9" hidden="1" customHeight="1">
      <c r="B235" s="3">
        <v>2022</v>
      </c>
      <c r="C235" s="13"/>
      <c r="D235" s="12"/>
      <c r="E235" s="12"/>
      <c r="F235" s="12"/>
      <c r="G235" s="12"/>
      <c r="H235" s="13"/>
      <c r="I235" s="12"/>
      <c r="J235" s="12"/>
      <c r="K235" s="12"/>
      <c r="L235" s="12"/>
      <c r="M235" s="12"/>
      <c r="N235" s="12"/>
      <c r="O235" s="12"/>
      <c r="P235" s="12"/>
    </row>
    <row r="236" spans="2:16" s="8" customFormat="1" ht="34.9" hidden="1" customHeight="1">
      <c r="B236" s="14">
        <v>44562</v>
      </c>
      <c r="C236" s="7">
        <v>2694.44</v>
      </c>
      <c r="D236" s="6">
        <v>4046.27</v>
      </c>
      <c r="E236" s="6">
        <v>2046.89</v>
      </c>
      <c r="F236" s="6">
        <v>1381.31</v>
      </c>
      <c r="G236" s="6">
        <v>1657.43</v>
      </c>
      <c r="H236" s="7">
        <v>1345.08</v>
      </c>
      <c r="I236" s="6">
        <v>774.2</v>
      </c>
      <c r="J236" s="6">
        <v>2486.1799999999998</v>
      </c>
      <c r="K236" s="6">
        <v>796.26</v>
      </c>
      <c r="L236" s="6">
        <v>293.31</v>
      </c>
      <c r="M236" s="6">
        <v>602.53</v>
      </c>
      <c r="N236" s="6">
        <v>50.15</v>
      </c>
      <c r="O236" s="6">
        <v>4382.4799999999996</v>
      </c>
      <c r="P236" s="6">
        <v>912.02</v>
      </c>
    </row>
    <row r="237" spans="2:16" s="8" customFormat="1" ht="34.9" hidden="1" customHeight="1">
      <c r="B237" s="15">
        <v>44593</v>
      </c>
      <c r="C237" s="11">
        <v>2648.03</v>
      </c>
      <c r="D237" s="10">
        <v>3985.08</v>
      </c>
      <c r="E237" s="10">
        <v>2076.83</v>
      </c>
      <c r="F237" s="10">
        <v>1344.75</v>
      </c>
      <c r="G237" s="10">
        <v>1567.89</v>
      </c>
      <c r="H237" s="11">
        <v>1331.25</v>
      </c>
      <c r="I237" s="10">
        <v>851.9</v>
      </c>
      <c r="J237" s="10">
        <v>2441.79</v>
      </c>
      <c r="K237" s="10">
        <v>773.25</v>
      </c>
      <c r="L237" s="10">
        <v>284.20999999999998</v>
      </c>
      <c r="M237" s="10">
        <v>616.23</v>
      </c>
      <c r="N237" s="10">
        <v>50.15</v>
      </c>
      <c r="O237" s="10">
        <v>4391.24</v>
      </c>
      <c r="P237" s="10">
        <v>819.61</v>
      </c>
    </row>
    <row r="238" spans="2:16" s="8" customFormat="1" ht="34.9" hidden="1" customHeight="1">
      <c r="B238" s="14">
        <v>44621</v>
      </c>
      <c r="C238" s="7">
        <v>2621.79</v>
      </c>
      <c r="D238" s="6">
        <v>3983.65</v>
      </c>
      <c r="E238" s="6">
        <v>1967.24</v>
      </c>
      <c r="F238" s="6">
        <v>1245.73</v>
      </c>
      <c r="G238" s="6">
        <v>1486.65</v>
      </c>
      <c r="H238" s="7">
        <v>1332.33</v>
      </c>
      <c r="I238" s="6">
        <v>858.22</v>
      </c>
      <c r="J238" s="6">
        <v>2294.06</v>
      </c>
      <c r="K238" s="6">
        <v>746.53</v>
      </c>
      <c r="L238" s="6">
        <v>265.23</v>
      </c>
      <c r="M238" s="6">
        <v>580.49</v>
      </c>
      <c r="N238" s="6">
        <v>50.15</v>
      </c>
      <c r="O238" s="6">
        <v>4598.84</v>
      </c>
      <c r="P238" s="6">
        <v>789.47</v>
      </c>
    </row>
    <row r="239" spans="2:16" s="8" customFormat="1" ht="34.9" hidden="1" customHeight="1">
      <c r="B239" s="15">
        <v>44652</v>
      </c>
      <c r="C239" s="11">
        <v>2728.7</v>
      </c>
      <c r="D239" s="10">
        <v>4180.6099999999997</v>
      </c>
      <c r="E239" s="10">
        <v>1934.6</v>
      </c>
      <c r="F239" s="10">
        <v>1228.1099999999999</v>
      </c>
      <c r="G239" s="10">
        <v>1494.7</v>
      </c>
      <c r="H239" s="11">
        <v>1443.35</v>
      </c>
      <c r="I239" s="10">
        <v>907.82</v>
      </c>
      <c r="J239" s="10">
        <v>2394.0100000000002</v>
      </c>
      <c r="K239" s="10">
        <v>784.89</v>
      </c>
      <c r="L239" s="10">
        <v>272.17</v>
      </c>
      <c r="M239" s="10">
        <v>551.98</v>
      </c>
      <c r="N239" s="10">
        <v>50.15</v>
      </c>
      <c r="O239" s="10">
        <v>5130.33</v>
      </c>
      <c r="P239" s="10">
        <v>884.4</v>
      </c>
    </row>
    <row r="240" spans="2:16" s="8" customFormat="1" ht="34.9" hidden="1" customHeight="1">
      <c r="B240" s="14">
        <v>44682</v>
      </c>
      <c r="C240" s="7">
        <v>2684.26</v>
      </c>
      <c r="D240" s="6">
        <v>4094.4</v>
      </c>
      <c r="E240" s="6">
        <v>1934.61</v>
      </c>
      <c r="F240" s="6">
        <v>1208.18</v>
      </c>
      <c r="G240" s="6">
        <v>1543.68</v>
      </c>
      <c r="H240" s="7">
        <v>1571.16</v>
      </c>
      <c r="I240" s="6">
        <v>948.42</v>
      </c>
      <c r="J240" s="6">
        <v>2448.9499999999998</v>
      </c>
      <c r="K240" s="6">
        <v>829.35</v>
      </c>
      <c r="L240" s="6">
        <v>279.02999999999997</v>
      </c>
      <c r="M240" s="6">
        <v>552.79999999999995</v>
      </c>
      <c r="N240" s="6">
        <v>50.15</v>
      </c>
      <c r="O240" s="6">
        <v>5833.13</v>
      </c>
      <c r="P240" s="6">
        <v>900.95</v>
      </c>
    </row>
    <row r="241" spans="2:16" s="8" customFormat="1" ht="34.9" hidden="1" customHeight="1">
      <c r="B241" s="15">
        <v>44713</v>
      </c>
      <c r="C241" s="11">
        <v>2663.79</v>
      </c>
      <c r="D241" s="10">
        <v>4047.74</v>
      </c>
      <c r="E241" s="10">
        <v>1815.57</v>
      </c>
      <c r="F241" s="10">
        <v>1279.08</v>
      </c>
      <c r="G241" s="10">
        <v>1586.62</v>
      </c>
      <c r="H241" s="11">
        <v>1657.54</v>
      </c>
      <c r="I241" s="10">
        <v>953.88</v>
      </c>
      <c r="J241" s="10">
        <v>2454.41</v>
      </c>
      <c r="K241" s="10">
        <v>825.06</v>
      </c>
      <c r="L241" s="10">
        <v>268.81</v>
      </c>
      <c r="M241" s="10">
        <v>548.84</v>
      </c>
      <c r="N241" s="10">
        <v>50.15</v>
      </c>
      <c r="O241" s="10">
        <v>6415.2</v>
      </c>
      <c r="P241" s="10">
        <v>884.35</v>
      </c>
    </row>
    <row r="242" spans="2:16" s="8" customFormat="1" ht="34.9" hidden="1" customHeight="1">
      <c r="B242" s="14">
        <v>44743</v>
      </c>
      <c r="C242" s="7">
        <v>2717.88</v>
      </c>
      <c r="D242" s="6">
        <v>4155.59</v>
      </c>
      <c r="E242" s="6">
        <v>1824.07</v>
      </c>
      <c r="F242" s="6">
        <v>1273.6099999999999</v>
      </c>
      <c r="G242" s="6">
        <v>1530.31</v>
      </c>
      <c r="H242" s="7">
        <v>1881.56</v>
      </c>
      <c r="I242" s="6">
        <v>927.21</v>
      </c>
      <c r="J242" s="6">
        <v>2439.3000000000002</v>
      </c>
      <c r="K242" s="6">
        <v>777.34</v>
      </c>
      <c r="L242" s="6">
        <v>266.79000000000002</v>
      </c>
      <c r="M242" s="6">
        <v>597.77</v>
      </c>
      <c r="N242" s="6">
        <v>50.15</v>
      </c>
      <c r="O242" s="6">
        <v>8000.58</v>
      </c>
      <c r="P242" s="6">
        <v>864.88</v>
      </c>
    </row>
    <row r="243" spans="2:16" s="8" customFormat="1" ht="34.9" hidden="1" customHeight="1">
      <c r="B243" s="15">
        <v>44774</v>
      </c>
      <c r="C243" s="11">
        <v>2673.44</v>
      </c>
      <c r="D243" s="10">
        <v>4076.98</v>
      </c>
      <c r="E243" s="10">
        <v>1872.47</v>
      </c>
      <c r="F243" s="10">
        <v>1255.31</v>
      </c>
      <c r="G243" s="10">
        <v>1519.71</v>
      </c>
      <c r="H243" s="11">
        <v>1807.71</v>
      </c>
      <c r="I243" s="10">
        <v>939.33</v>
      </c>
      <c r="J243" s="10">
        <v>2392.65</v>
      </c>
      <c r="K243" s="10">
        <v>793.63</v>
      </c>
      <c r="L243" s="10">
        <v>264.97000000000003</v>
      </c>
      <c r="M243" s="10">
        <v>595.07000000000005</v>
      </c>
      <c r="N243" s="10">
        <v>50.15</v>
      </c>
      <c r="O243" s="10">
        <v>7554.49</v>
      </c>
      <c r="P243" s="10">
        <v>822.15</v>
      </c>
    </row>
    <row r="244" spans="2:16" s="8" customFormat="1" ht="34.9" hidden="1" customHeight="1">
      <c r="B244" s="14">
        <v>44805</v>
      </c>
      <c r="C244" s="7">
        <v>2644.87</v>
      </c>
      <c r="D244" s="6">
        <v>4035.05</v>
      </c>
      <c r="E244" s="6">
        <v>1894.33</v>
      </c>
      <c r="F244" s="6">
        <v>1228.4000000000001</v>
      </c>
      <c r="G244" s="6">
        <v>1486.08</v>
      </c>
      <c r="H244" s="7">
        <v>1728.76</v>
      </c>
      <c r="I244" s="6">
        <v>1032.6600000000001</v>
      </c>
      <c r="J244" s="6">
        <v>2356.44</v>
      </c>
      <c r="K244" s="6">
        <v>821.18</v>
      </c>
      <c r="L244" s="6">
        <v>257.14</v>
      </c>
      <c r="M244" s="6">
        <v>593.69000000000005</v>
      </c>
      <c r="N244" s="6">
        <v>50.15</v>
      </c>
      <c r="O244" s="6">
        <v>7024.36</v>
      </c>
      <c r="P244" s="6">
        <v>796.67</v>
      </c>
    </row>
    <row r="245" spans="2:16" s="8" customFormat="1" ht="34.9" hidden="1" customHeight="1">
      <c r="B245" s="15">
        <v>44835</v>
      </c>
      <c r="C245" s="11">
        <v>2640.77</v>
      </c>
      <c r="D245" s="10">
        <v>4034.99</v>
      </c>
      <c r="E245" s="10">
        <v>1909.68</v>
      </c>
      <c r="F245" s="10">
        <v>1182.55</v>
      </c>
      <c r="G245" s="10">
        <v>1479.88</v>
      </c>
      <c r="H245" s="11">
        <v>1660.86</v>
      </c>
      <c r="I245" s="10">
        <v>1004.78</v>
      </c>
      <c r="J245" s="10">
        <v>2339.41</v>
      </c>
      <c r="K245" s="10">
        <v>780.69</v>
      </c>
      <c r="L245" s="10">
        <v>263.83999999999997</v>
      </c>
      <c r="M245" s="10">
        <v>617.67999999999995</v>
      </c>
      <c r="N245" s="10">
        <v>50.15</v>
      </c>
      <c r="O245" s="10">
        <v>6565.62</v>
      </c>
      <c r="P245" s="10">
        <v>813.47</v>
      </c>
    </row>
    <row r="246" spans="2:16" s="8" customFormat="1" ht="34.9" hidden="1" customHeight="1">
      <c r="B246" s="14">
        <v>44866</v>
      </c>
      <c r="C246" s="7">
        <v>2681.44</v>
      </c>
      <c r="D246" s="6">
        <v>4110.08</v>
      </c>
      <c r="E246" s="6">
        <v>1857.46</v>
      </c>
      <c r="F246" s="6">
        <v>1183.8499999999999</v>
      </c>
      <c r="G246" s="6">
        <v>1486.77</v>
      </c>
      <c r="H246" s="7">
        <v>1736.79</v>
      </c>
      <c r="I246" s="6">
        <v>1040.54</v>
      </c>
      <c r="J246" s="6">
        <v>2478.8200000000002</v>
      </c>
      <c r="K246" s="6">
        <v>774.23</v>
      </c>
      <c r="L246" s="6">
        <v>266</v>
      </c>
      <c r="M246" s="6">
        <v>612.47</v>
      </c>
      <c r="N246" s="6">
        <v>50.15</v>
      </c>
      <c r="O246" s="6">
        <v>6959.53</v>
      </c>
      <c r="P246" s="6">
        <v>840.98</v>
      </c>
    </row>
    <row r="247" spans="2:16" s="8" customFormat="1" ht="34.9" hidden="1" customHeight="1">
      <c r="B247" s="15">
        <v>44896</v>
      </c>
      <c r="C247" s="11">
        <v>2692.23</v>
      </c>
      <c r="D247" s="10">
        <v>4130.91</v>
      </c>
      <c r="E247" s="10">
        <v>1843.58</v>
      </c>
      <c r="F247" s="10">
        <v>1179.1199999999999</v>
      </c>
      <c r="G247" s="10">
        <v>1488.11</v>
      </c>
      <c r="H247" s="11">
        <v>1740.81</v>
      </c>
      <c r="I247" s="10">
        <v>1124.78</v>
      </c>
      <c r="J247" s="10">
        <v>2579.88</v>
      </c>
      <c r="K247" s="10">
        <v>793.96</v>
      </c>
      <c r="L247" s="10">
        <v>271.93</v>
      </c>
      <c r="M247" s="10">
        <v>626.22</v>
      </c>
      <c r="N247" s="10">
        <v>50.15</v>
      </c>
      <c r="O247" s="10">
        <v>6873.63</v>
      </c>
      <c r="P247" s="10">
        <v>808.41</v>
      </c>
    </row>
    <row r="248" spans="2:16" s="8" customFormat="1" ht="34.9" hidden="1" customHeight="1">
      <c r="B248" s="3">
        <v>2023</v>
      </c>
      <c r="C248" s="13"/>
      <c r="D248" s="12"/>
      <c r="E248" s="12"/>
      <c r="F248" s="12"/>
      <c r="G248" s="12"/>
      <c r="H248" s="13"/>
      <c r="I248" s="12"/>
      <c r="J248" s="12"/>
      <c r="K248" s="12"/>
      <c r="L248" s="12"/>
      <c r="M248" s="12"/>
      <c r="N248" s="12"/>
      <c r="O248" s="12"/>
      <c r="P248" s="12"/>
    </row>
    <row r="249" spans="2:16" s="8" customFormat="1" ht="34.9" hidden="1" customHeight="1">
      <c r="B249" s="14">
        <v>44927</v>
      </c>
      <c r="C249" s="7">
        <v>2789.67</v>
      </c>
      <c r="D249" s="6">
        <v>4283.38</v>
      </c>
      <c r="E249" s="6">
        <v>1847.21</v>
      </c>
      <c r="F249" s="6">
        <v>1193.8800000000001</v>
      </c>
      <c r="G249" s="6">
        <v>1579.44</v>
      </c>
      <c r="H249" s="7">
        <v>1889.9</v>
      </c>
      <c r="I249" s="6">
        <v>1070.23</v>
      </c>
      <c r="J249" s="6">
        <v>2410.31</v>
      </c>
      <c r="K249" s="6">
        <v>758.53</v>
      </c>
      <c r="L249" s="6">
        <v>274.37</v>
      </c>
      <c r="M249" s="6">
        <v>719.74</v>
      </c>
      <c r="N249" s="6">
        <v>50.15</v>
      </c>
      <c r="O249" s="6">
        <v>7990.82</v>
      </c>
      <c r="P249" s="6">
        <v>780.47</v>
      </c>
    </row>
    <row r="250" spans="2:16" s="8" customFormat="1" ht="34.9" hidden="1" customHeight="1">
      <c r="B250" s="15">
        <v>44958</v>
      </c>
      <c r="C250" s="11">
        <v>2780.29</v>
      </c>
      <c r="D250" s="10">
        <v>4260.7</v>
      </c>
      <c r="E250" s="10">
        <v>1828.75</v>
      </c>
      <c r="F250" s="10">
        <v>1210.28</v>
      </c>
      <c r="G250" s="10">
        <v>1607.69</v>
      </c>
      <c r="H250" s="11">
        <v>1831.54</v>
      </c>
      <c r="I250" s="10">
        <v>1038.1199999999999</v>
      </c>
      <c r="J250" s="10">
        <v>2377.44</v>
      </c>
      <c r="K250" s="10">
        <v>744.8</v>
      </c>
      <c r="L250" s="10">
        <v>283.14999999999998</v>
      </c>
      <c r="M250" s="10">
        <v>708.69</v>
      </c>
      <c r="N250" s="10">
        <v>50.15</v>
      </c>
      <c r="O250" s="10">
        <v>7640.83</v>
      </c>
      <c r="P250" s="10">
        <v>776.75</v>
      </c>
    </row>
    <row r="251" spans="2:16" s="8" customFormat="1" ht="34.9" hidden="1" customHeight="1">
      <c r="B251" s="14">
        <v>44986</v>
      </c>
      <c r="C251" s="7">
        <v>2733.14</v>
      </c>
      <c r="D251" s="6">
        <v>4190.92</v>
      </c>
      <c r="E251" s="6">
        <v>1820.57</v>
      </c>
      <c r="F251" s="6">
        <v>1183.58</v>
      </c>
      <c r="G251" s="6">
        <v>1562.59</v>
      </c>
      <c r="H251" s="7">
        <v>1850.59</v>
      </c>
      <c r="I251" s="6">
        <v>1060.54</v>
      </c>
      <c r="J251" s="6">
        <v>2361.04</v>
      </c>
      <c r="K251" s="6">
        <v>763.99</v>
      </c>
      <c r="L251" s="6">
        <v>284.24</v>
      </c>
      <c r="M251" s="6">
        <v>700.08</v>
      </c>
      <c r="N251" s="6">
        <v>50.15</v>
      </c>
      <c r="O251" s="6">
        <v>7758.06</v>
      </c>
      <c r="P251" s="6">
        <v>780.44</v>
      </c>
    </row>
    <row r="252" spans="2:16" s="8" customFormat="1" ht="34.9" hidden="1" customHeight="1">
      <c r="B252" s="15">
        <v>45017</v>
      </c>
      <c r="C252" s="11">
        <v>2635.88</v>
      </c>
      <c r="D252" s="10">
        <v>4021.31</v>
      </c>
      <c r="E252" s="10">
        <v>1770.37</v>
      </c>
      <c r="F252" s="10">
        <v>1198.78</v>
      </c>
      <c r="G252" s="10">
        <v>1561.72</v>
      </c>
      <c r="H252" s="11">
        <v>1749.42</v>
      </c>
      <c r="I252" s="10">
        <v>1152.05</v>
      </c>
      <c r="J252" s="10">
        <v>2303.1799999999998</v>
      </c>
      <c r="K252" s="10">
        <v>737.64</v>
      </c>
      <c r="L252" s="10">
        <v>278.70999999999998</v>
      </c>
      <c r="M252" s="10">
        <v>604.41</v>
      </c>
      <c r="N252" s="10">
        <v>50.15</v>
      </c>
      <c r="O252" s="10">
        <v>7260.18</v>
      </c>
      <c r="P252" s="10">
        <v>772.67</v>
      </c>
    </row>
    <row r="253" spans="2:16" s="8" customFormat="1" ht="34.9" hidden="1" customHeight="1">
      <c r="B253" s="14">
        <v>45047</v>
      </c>
      <c r="C253" s="7">
        <v>2649.21</v>
      </c>
      <c r="D253" s="6">
        <v>4043.74</v>
      </c>
      <c r="E253" s="6">
        <v>1815.49</v>
      </c>
      <c r="F253" s="6">
        <v>1203.98</v>
      </c>
      <c r="G253" s="6">
        <v>1543</v>
      </c>
      <c r="H253" s="7">
        <v>1742.58</v>
      </c>
      <c r="I253" s="6">
        <v>1199.92</v>
      </c>
      <c r="J253" s="6">
        <v>2368.0700000000002</v>
      </c>
      <c r="K253" s="6">
        <v>857.33</v>
      </c>
      <c r="L253" s="6">
        <v>302.06</v>
      </c>
      <c r="M253" s="6">
        <v>664.35</v>
      </c>
      <c r="N253" s="6">
        <v>50.15</v>
      </c>
      <c r="O253" s="6">
        <v>6847.5</v>
      </c>
      <c r="P253" s="6">
        <v>784.71</v>
      </c>
    </row>
    <row r="254" spans="2:16" s="8" customFormat="1" ht="34.9" hidden="1" customHeight="1">
      <c r="B254" s="15">
        <v>45078</v>
      </c>
      <c r="C254" s="11">
        <v>2626.31</v>
      </c>
      <c r="D254" s="10">
        <v>3997.11</v>
      </c>
      <c r="E254" s="10">
        <v>1823.6</v>
      </c>
      <c r="F254" s="10">
        <v>1232.98</v>
      </c>
      <c r="G254" s="10">
        <v>1547.93</v>
      </c>
      <c r="H254" s="11">
        <v>1757.12</v>
      </c>
      <c r="I254" s="10">
        <v>1224.1600000000001</v>
      </c>
      <c r="J254" s="10">
        <v>2379.5</v>
      </c>
      <c r="K254" s="10">
        <v>904.17</v>
      </c>
      <c r="L254" s="10">
        <v>306.64999999999998</v>
      </c>
      <c r="M254" s="10">
        <v>649.55999999999995</v>
      </c>
      <c r="N254" s="10">
        <v>50.15</v>
      </c>
      <c r="O254" s="10">
        <v>6903.04</v>
      </c>
      <c r="P254" s="10">
        <v>777.49</v>
      </c>
    </row>
    <row r="255" spans="2:16" s="8" customFormat="1" ht="34.9" hidden="1" customHeight="1">
      <c r="B255" s="14">
        <v>45108</v>
      </c>
      <c r="C255" s="7">
        <v>2632.76</v>
      </c>
      <c r="D255" s="6">
        <v>4019.66</v>
      </c>
      <c r="E255" s="6">
        <v>1771.78</v>
      </c>
      <c r="F255" s="6">
        <v>1192.0899999999999</v>
      </c>
      <c r="G255" s="6">
        <v>1546.1</v>
      </c>
      <c r="H255" s="7">
        <v>1732.9</v>
      </c>
      <c r="I255" s="6">
        <v>1224.1600000000001</v>
      </c>
      <c r="J255" s="6">
        <v>2384.6999999999998</v>
      </c>
      <c r="K255" s="6">
        <v>899.85</v>
      </c>
      <c r="L255" s="6">
        <v>316.10000000000002</v>
      </c>
      <c r="M255" s="6">
        <v>658.79</v>
      </c>
      <c r="N255" s="6">
        <v>50.15</v>
      </c>
      <c r="O255" s="6">
        <v>6702.36</v>
      </c>
      <c r="P255" s="6">
        <v>779.06</v>
      </c>
    </row>
    <row r="256" spans="2:16" s="8" customFormat="1" ht="34.9" hidden="1" customHeight="1">
      <c r="B256" s="15">
        <v>45139</v>
      </c>
      <c r="C256" s="11">
        <v>2602.8000000000002</v>
      </c>
      <c r="D256" s="10">
        <v>3973.48</v>
      </c>
      <c r="E256" s="10">
        <v>1747.91</v>
      </c>
      <c r="F256" s="10">
        <v>1168.52</v>
      </c>
      <c r="G256" s="10">
        <v>1543.63</v>
      </c>
      <c r="H256" s="11">
        <v>1711.36</v>
      </c>
      <c r="I256" s="10">
        <v>1166.5899999999999</v>
      </c>
      <c r="J256" s="10">
        <v>2455.94</v>
      </c>
      <c r="K256" s="10">
        <v>884.09</v>
      </c>
      <c r="L256" s="10">
        <v>305.73</v>
      </c>
      <c r="M256" s="10">
        <v>653.88</v>
      </c>
      <c r="N256" s="10">
        <v>50.15</v>
      </c>
      <c r="O256" s="10">
        <v>6567.81</v>
      </c>
      <c r="P256" s="10">
        <v>767.49</v>
      </c>
    </row>
    <row r="257" spans="2:16" s="8" customFormat="1" ht="34.9" hidden="1" customHeight="1">
      <c r="B257" s="14">
        <v>45170</v>
      </c>
      <c r="C257" s="7">
        <v>2633.92</v>
      </c>
      <c r="D257" s="6">
        <v>4005.33</v>
      </c>
      <c r="E257" s="6">
        <v>1766.77</v>
      </c>
      <c r="F257" s="6">
        <v>1231.51</v>
      </c>
      <c r="G257" s="6">
        <v>1609.14</v>
      </c>
      <c r="H257" s="7">
        <v>1698.67</v>
      </c>
      <c r="I257" s="6">
        <v>1204.77</v>
      </c>
      <c r="J257" s="6">
        <v>2457.7199999999998</v>
      </c>
      <c r="K257" s="6">
        <v>900.56</v>
      </c>
      <c r="L257" s="6">
        <v>313.26</v>
      </c>
      <c r="M257" s="6">
        <v>661.35</v>
      </c>
      <c r="N257" s="6">
        <v>50.15</v>
      </c>
      <c r="O257" s="6">
        <v>6421.63</v>
      </c>
      <c r="P257" s="6">
        <v>770.41</v>
      </c>
    </row>
    <row r="258" spans="2:16" s="8" customFormat="1" ht="34.9" hidden="1" customHeight="1">
      <c r="B258" s="15">
        <v>45200</v>
      </c>
      <c r="C258" s="11">
        <v>2678.59</v>
      </c>
      <c r="D258" s="10">
        <v>4074.93</v>
      </c>
      <c r="E258" s="10">
        <v>1784.1</v>
      </c>
      <c r="F258" s="10">
        <v>1290.1300000000001</v>
      </c>
      <c r="G258" s="10">
        <v>1587.3</v>
      </c>
      <c r="H258" s="11">
        <v>1661.8</v>
      </c>
      <c r="I258" s="10">
        <v>1204.77</v>
      </c>
      <c r="J258" s="10">
        <v>2362.89</v>
      </c>
      <c r="K258" s="10">
        <v>827.16</v>
      </c>
      <c r="L258" s="10">
        <v>301.42</v>
      </c>
      <c r="M258" s="10">
        <v>651.57000000000005</v>
      </c>
      <c r="N258" s="10">
        <v>50.15</v>
      </c>
      <c r="O258" s="10">
        <v>6355.84</v>
      </c>
      <c r="P258" s="10">
        <v>767.25</v>
      </c>
    </row>
    <row r="259" spans="2:16" s="8" customFormat="1" ht="34.5" hidden="1" customHeight="1">
      <c r="B259" s="14">
        <v>45231</v>
      </c>
      <c r="C259" s="7">
        <v>2680.26</v>
      </c>
      <c r="D259" s="6">
        <v>4080.27</v>
      </c>
      <c r="E259" s="6">
        <v>1825.18</v>
      </c>
      <c r="F259" s="6">
        <v>1240.54</v>
      </c>
      <c r="G259" s="6">
        <v>1611.53</v>
      </c>
      <c r="H259" s="7">
        <v>1646.46</v>
      </c>
      <c r="I259" s="6">
        <v>1204.77</v>
      </c>
      <c r="J259" s="6">
        <v>2373.86</v>
      </c>
      <c r="K259" s="6">
        <v>807.31</v>
      </c>
      <c r="L259" s="6">
        <v>295.11</v>
      </c>
      <c r="M259" s="6">
        <v>677.6</v>
      </c>
      <c r="N259" s="6">
        <v>50.15</v>
      </c>
      <c r="O259" s="6">
        <v>6246.06</v>
      </c>
      <c r="P259" s="6">
        <v>755.58</v>
      </c>
    </row>
    <row r="260" spans="2:16" s="8" customFormat="1" ht="34.9" hidden="1" customHeight="1">
      <c r="B260" s="60">
        <v>45261</v>
      </c>
      <c r="C260" s="62">
        <v>2728.97</v>
      </c>
      <c r="D260" s="61">
        <v>4152.92</v>
      </c>
      <c r="E260" s="61">
        <v>1820.31</v>
      </c>
      <c r="F260" s="61">
        <v>1265.23</v>
      </c>
      <c r="G260" s="61">
        <v>1666.93</v>
      </c>
      <c r="H260" s="62">
        <v>1644.03</v>
      </c>
      <c r="I260" s="61">
        <v>1161.1400000000001</v>
      </c>
      <c r="J260" s="61">
        <v>2387.17</v>
      </c>
      <c r="K260" s="61">
        <v>797.13</v>
      </c>
      <c r="L260" s="61">
        <v>298.2</v>
      </c>
      <c r="M260" s="61">
        <v>682.58</v>
      </c>
      <c r="N260" s="61">
        <v>50.15</v>
      </c>
      <c r="O260" s="61">
        <v>6226.58</v>
      </c>
      <c r="P260" s="61">
        <v>757.34</v>
      </c>
    </row>
    <row r="261" spans="2:16" s="8" customFormat="1" ht="34.9" hidden="1" customHeight="1">
      <c r="B261" s="3">
        <v>2024</v>
      </c>
      <c r="C261" s="13"/>
      <c r="D261" s="12"/>
      <c r="E261" s="12"/>
      <c r="F261" s="12"/>
      <c r="G261" s="12"/>
      <c r="H261" s="13"/>
      <c r="I261" s="12"/>
      <c r="J261" s="12"/>
      <c r="K261" s="12"/>
      <c r="L261" s="12"/>
      <c r="M261" s="12"/>
      <c r="N261" s="12"/>
      <c r="O261" s="12"/>
      <c r="P261" s="12"/>
    </row>
    <row r="262" spans="2:16" s="8" customFormat="1" ht="34.9" hidden="1" customHeight="1">
      <c r="B262" s="14">
        <v>45292</v>
      </c>
      <c r="C262" s="7">
        <v>2747.44</v>
      </c>
      <c r="D262" s="6">
        <v>4186.79</v>
      </c>
      <c r="E262" s="6">
        <v>1826.59</v>
      </c>
      <c r="F262" s="6">
        <v>1246.1300000000001</v>
      </c>
      <c r="G262" s="6">
        <v>1678.95</v>
      </c>
      <c r="H262" s="7">
        <v>1712.24</v>
      </c>
      <c r="I262" s="6">
        <v>1124.78</v>
      </c>
      <c r="J262" s="6">
        <v>2418.27</v>
      </c>
      <c r="K262" s="6">
        <v>804.98</v>
      </c>
      <c r="L262" s="6">
        <v>313.23</v>
      </c>
      <c r="M262" s="6">
        <v>719.49</v>
      </c>
      <c r="N262" s="6">
        <v>50.15</v>
      </c>
      <c r="O262" s="6">
        <v>6604.88</v>
      </c>
      <c r="P262" s="6">
        <v>740.75</v>
      </c>
    </row>
    <row r="263" spans="2:16" s="8" customFormat="1" ht="34.9" hidden="1" customHeight="1">
      <c r="B263" s="15">
        <v>45323</v>
      </c>
      <c r="C263" s="11">
        <v>2714.36</v>
      </c>
      <c r="D263" s="10">
        <v>4135.46</v>
      </c>
      <c r="E263" s="10">
        <v>1843.6</v>
      </c>
      <c r="F263" s="10">
        <v>1230.1199999999999</v>
      </c>
      <c r="G263" s="10">
        <v>1645.2</v>
      </c>
      <c r="H263" s="11">
        <v>1702.39</v>
      </c>
      <c r="I263" s="10">
        <v>1107.2</v>
      </c>
      <c r="J263" s="10">
        <v>2398.4699999999998</v>
      </c>
      <c r="K263" s="10">
        <v>781.25</v>
      </c>
      <c r="L263" s="10">
        <v>298.43</v>
      </c>
      <c r="M263" s="10">
        <v>729.83</v>
      </c>
      <c r="N263" s="10">
        <v>50.15</v>
      </c>
      <c r="O263" s="10">
        <v>6585.66</v>
      </c>
      <c r="P263" s="10">
        <v>746.17</v>
      </c>
    </row>
    <row r="264" spans="2:16" s="8" customFormat="1" ht="34.5" hidden="1" customHeight="1">
      <c r="B264" s="14">
        <v>45352</v>
      </c>
      <c r="C264" s="7">
        <v>2647.15</v>
      </c>
      <c r="D264" s="6">
        <v>4028.9</v>
      </c>
      <c r="E264" s="6">
        <v>1868.39</v>
      </c>
      <c r="F264" s="6">
        <v>1192.9000000000001</v>
      </c>
      <c r="G264" s="6">
        <v>1602.82</v>
      </c>
      <c r="H264" s="7">
        <v>1749.21</v>
      </c>
      <c r="I264" s="6">
        <v>1134.47</v>
      </c>
      <c r="J264" s="6">
        <v>2379.65</v>
      </c>
      <c r="K264" s="6">
        <v>776.46</v>
      </c>
      <c r="L264" s="6">
        <v>292.89999999999998</v>
      </c>
      <c r="M264" s="6">
        <v>737.21</v>
      </c>
      <c r="N264" s="6">
        <v>50.15</v>
      </c>
      <c r="O264" s="6">
        <v>6926.48</v>
      </c>
      <c r="P264" s="6">
        <v>732.29</v>
      </c>
    </row>
    <row r="265" spans="2:16" s="8" customFormat="1" ht="34.9" hidden="1" customHeight="1">
      <c r="B265" s="15">
        <v>45383</v>
      </c>
      <c r="C265" s="11">
        <v>2613.0700000000002</v>
      </c>
      <c r="D265" s="10">
        <v>3981.12</v>
      </c>
      <c r="E265" s="10">
        <v>1895.11</v>
      </c>
      <c r="F265" s="10">
        <v>1159.72</v>
      </c>
      <c r="G265" s="10">
        <v>1550.39</v>
      </c>
      <c r="H265" s="11">
        <v>1649.93</v>
      </c>
      <c r="I265" s="10">
        <v>1156.29</v>
      </c>
      <c r="J265" s="10">
        <v>2413.9</v>
      </c>
      <c r="K265" s="10">
        <v>763.49</v>
      </c>
      <c r="L265" s="10">
        <v>295.72000000000003</v>
      </c>
      <c r="M265" s="10">
        <v>724.3</v>
      </c>
      <c r="N265" s="10">
        <v>50.15</v>
      </c>
      <c r="O265" s="10">
        <v>6271.07</v>
      </c>
      <c r="P265" s="10">
        <v>697.29</v>
      </c>
    </row>
    <row r="266" spans="2:16" s="8" customFormat="1" ht="34.9" hidden="1" customHeight="1">
      <c r="B266" s="14">
        <v>45413</v>
      </c>
      <c r="C266" s="7">
        <v>2632.95</v>
      </c>
      <c r="D266" s="6">
        <v>4004.18</v>
      </c>
      <c r="E266" s="6">
        <v>1919.2</v>
      </c>
      <c r="F266" s="6">
        <v>1186.8</v>
      </c>
      <c r="G266" s="6">
        <v>1581.94</v>
      </c>
      <c r="H266" s="7">
        <v>1679.39</v>
      </c>
      <c r="I266" s="6">
        <v>1103.57</v>
      </c>
      <c r="J266" s="6">
        <v>2315.92</v>
      </c>
      <c r="K266" s="6">
        <v>773.98</v>
      </c>
      <c r="L266" s="6">
        <v>292.18</v>
      </c>
      <c r="M266" s="6">
        <v>757.51</v>
      </c>
      <c r="N266" s="6">
        <v>50.15</v>
      </c>
      <c r="O266" s="6">
        <v>6499.82</v>
      </c>
      <c r="P266" s="6">
        <v>699.9</v>
      </c>
    </row>
    <row r="267" spans="2:16" s="8" customFormat="1" ht="34.5" hidden="1" customHeight="1">
      <c r="B267" s="15">
        <v>45445</v>
      </c>
      <c r="C267" s="11">
        <v>2602.5500000000002</v>
      </c>
      <c r="D267" s="10">
        <v>3954.65</v>
      </c>
      <c r="E267" s="10">
        <v>1945.64</v>
      </c>
      <c r="F267" s="10">
        <v>1171.2</v>
      </c>
      <c r="G267" s="10">
        <v>1562.32</v>
      </c>
      <c r="H267" s="11">
        <v>1697.4</v>
      </c>
      <c r="I267" s="10">
        <v>1102.3499999999999</v>
      </c>
      <c r="J267" s="10">
        <v>2318.2800000000002</v>
      </c>
      <c r="K267" s="10">
        <v>727.59</v>
      </c>
      <c r="L267" s="10">
        <v>290.17</v>
      </c>
      <c r="M267" s="10">
        <v>766.74</v>
      </c>
      <c r="N267" s="10">
        <v>50.15</v>
      </c>
      <c r="O267" s="10">
        <v>6642.91</v>
      </c>
      <c r="P267" s="10">
        <v>722.48</v>
      </c>
    </row>
    <row r="268" spans="2:16" s="8" customFormat="1" ht="34.9" hidden="1" customHeight="1">
      <c r="B268" s="14">
        <v>45474</v>
      </c>
      <c r="C268" s="7">
        <v>2623.48</v>
      </c>
      <c r="D268" s="6">
        <v>3990.74</v>
      </c>
      <c r="E268" s="6">
        <v>1924.75</v>
      </c>
      <c r="F268" s="6">
        <v>1174.25</v>
      </c>
      <c r="G268" s="6">
        <v>1573.17</v>
      </c>
      <c r="H268" s="7">
        <v>1685.67</v>
      </c>
      <c r="I268" s="6">
        <v>1062.3599999999999</v>
      </c>
      <c r="J268" s="6">
        <v>2404.3000000000002</v>
      </c>
      <c r="K268" s="6">
        <v>693.19</v>
      </c>
      <c r="L268" s="6">
        <v>282.75</v>
      </c>
      <c r="M268" s="6">
        <v>766.37</v>
      </c>
      <c r="N268" s="6">
        <v>50.15</v>
      </c>
      <c r="O268" s="6">
        <v>6571.6</v>
      </c>
      <c r="P268" s="6">
        <v>711.9</v>
      </c>
    </row>
    <row r="269" spans="2:16" s="8" customFormat="1" ht="34.5" hidden="1" customHeight="1">
      <c r="B269" s="15">
        <v>45506</v>
      </c>
      <c r="C269" s="11">
        <v>2616.9</v>
      </c>
      <c r="D269" s="10">
        <v>3989.05</v>
      </c>
      <c r="E269" s="10">
        <v>1901.28</v>
      </c>
      <c r="F269" s="10">
        <v>1145.94</v>
      </c>
      <c r="G269" s="10">
        <v>1555.64</v>
      </c>
      <c r="H269" s="11">
        <v>1683.46</v>
      </c>
      <c r="I269" s="10">
        <v>1074.48</v>
      </c>
      <c r="J269" s="10">
        <v>2401.0500000000002</v>
      </c>
      <c r="K269" s="10">
        <v>685.67</v>
      </c>
      <c r="L269" s="10">
        <v>267.16000000000003</v>
      </c>
      <c r="M269" s="10">
        <v>778.19</v>
      </c>
      <c r="N269" s="10">
        <v>50.15</v>
      </c>
      <c r="O269" s="10">
        <v>6561.39</v>
      </c>
      <c r="P269" s="10">
        <v>722.84</v>
      </c>
    </row>
    <row r="270" spans="2:16" s="8" customFormat="1" ht="34.9" hidden="1" customHeight="1">
      <c r="B270" s="14">
        <v>45538</v>
      </c>
      <c r="C270" s="7">
        <v>2592.4</v>
      </c>
      <c r="D270" s="6">
        <v>3941.34</v>
      </c>
      <c r="E270" s="6">
        <v>1937.42</v>
      </c>
      <c r="F270" s="6">
        <v>1175.93</v>
      </c>
      <c r="G270" s="6">
        <v>1528.24</v>
      </c>
      <c r="H270" s="7">
        <v>1640.08</v>
      </c>
      <c r="I270" s="6">
        <v>1022.96</v>
      </c>
      <c r="J270" s="6">
        <v>2310.2800000000002</v>
      </c>
      <c r="K270" s="6">
        <v>698.29</v>
      </c>
      <c r="L270" s="6">
        <v>257.77</v>
      </c>
      <c r="M270" s="6">
        <v>754.57</v>
      </c>
      <c r="N270" s="6">
        <v>50.15</v>
      </c>
      <c r="O270" s="6">
        <v>6404.42</v>
      </c>
      <c r="P270" s="6">
        <v>693.39</v>
      </c>
    </row>
    <row r="271" spans="2:16" s="8" customFormat="1" ht="34.5" hidden="1" customHeight="1">
      <c r="B271" s="15">
        <v>45570</v>
      </c>
      <c r="C271" s="11">
        <v>2601.85</v>
      </c>
      <c r="D271" s="10">
        <v>3950.01</v>
      </c>
      <c r="E271" s="10">
        <v>1989.57</v>
      </c>
      <c r="F271" s="10">
        <v>1169.77</v>
      </c>
      <c r="G271" s="10">
        <v>1564.65</v>
      </c>
      <c r="H271" s="11">
        <v>1668.72</v>
      </c>
      <c r="I271" s="10">
        <v>1022.36</v>
      </c>
      <c r="J271" s="10">
        <v>2370</v>
      </c>
      <c r="K271" s="10">
        <v>700.92</v>
      </c>
      <c r="L271" s="10">
        <v>269.66000000000003</v>
      </c>
      <c r="M271" s="10">
        <v>772.29</v>
      </c>
      <c r="N271" s="10">
        <v>50.15</v>
      </c>
      <c r="O271" s="10">
        <v>6538.6</v>
      </c>
      <c r="P271" s="10">
        <v>663.21</v>
      </c>
    </row>
    <row r="272" spans="2:16" s="8" customFormat="1" ht="34.9" hidden="1" customHeight="1">
      <c r="B272" s="14">
        <v>45599</v>
      </c>
      <c r="C272" s="7">
        <v>2596.8000000000002</v>
      </c>
      <c r="D272" s="6">
        <v>3932.17</v>
      </c>
      <c r="E272" s="6">
        <v>2007.62</v>
      </c>
      <c r="F272" s="6">
        <v>1160.67</v>
      </c>
      <c r="G272" s="6">
        <v>1634.3</v>
      </c>
      <c r="H272" s="7">
        <v>1655.97</v>
      </c>
      <c r="I272" s="6">
        <v>996.3</v>
      </c>
      <c r="J272" s="6">
        <v>2371.08</v>
      </c>
      <c r="K272" s="6">
        <v>685.93</v>
      </c>
      <c r="L272" s="6">
        <v>262.77999999999997</v>
      </c>
      <c r="M272" s="6">
        <v>763.8</v>
      </c>
      <c r="N272" s="6">
        <v>50.15</v>
      </c>
      <c r="O272" s="6">
        <v>6500.35</v>
      </c>
      <c r="P272" s="6">
        <v>658.83</v>
      </c>
    </row>
    <row r="273" spans="2:16" s="8" customFormat="1" ht="34.5" hidden="1" customHeight="1">
      <c r="B273" s="60">
        <v>45628</v>
      </c>
      <c r="C273" s="62">
        <v>2650.97</v>
      </c>
      <c r="D273" s="61">
        <v>4033.33</v>
      </c>
      <c r="E273" s="61">
        <v>1990.1</v>
      </c>
      <c r="F273" s="61">
        <v>1147.8399999999999</v>
      </c>
      <c r="G273" s="61">
        <v>1608.44</v>
      </c>
      <c r="H273" s="62">
        <v>1693.32</v>
      </c>
      <c r="I273" s="61">
        <v>1038.72</v>
      </c>
      <c r="J273" s="61">
        <v>2407.64</v>
      </c>
      <c r="K273" s="61">
        <v>718.79</v>
      </c>
      <c r="L273" s="61">
        <v>259.76</v>
      </c>
      <c r="M273" s="61">
        <v>755.32</v>
      </c>
      <c r="N273" s="61">
        <v>50.15</v>
      </c>
      <c r="O273" s="61">
        <v>6681.77</v>
      </c>
      <c r="P273" s="61">
        <v>680.15</v>
      </c>
    </row>
    <row r="274" spans="2:16" s="8" customFormat="1" ht="34.5" customHeight="1">
      <c r="B274" s="3">
        <v>2025</v>
      </c>
      <c r="C274" s="13"/>
      <c r="D274" s="12"/>
      <c r="E274" s="12"/>
      <c r="F274" s="12"/>
      <c r="G274" s="12"/>
      <c r="H274" s="13"/>
      <c r="I274" s="12"/>
      <c r="J274" s="12"/>
      <c r="K274" s="12"/>
      <c r="L274" s="12"/>
      <c r="M274" s="12"/>
      <c r="N274" s="12"/>
      <c r="O274" s="12"/>
      <c r="P274" s="12"/>
    </row>
    <row r="275" spans="2:16" s="8" customFormat="1" ht="34.5" hidden="1" customHeight="1">
      <c r="B275" s="14">
        <v>45658</v>
      </c>
      <c r="C275" s="7">
        <v>2752.6</v>
      </c>
      <c r="D275" s="6">
        <v>4211.3</v>
      </c>
      <c r="E275" s="6">
        <v>1987.3</v>
      </c>
      <c r="F275" s="6">
        <v>1130.2</v>
      </c>
      <c r="G275" s="6">
        <v>1627.5</v>
      </c>
      <c r="H275" s="7">
        <v>1767.6</v>
      </c>
      <c r="I275" s="6">
        <v>1040.5</v>
      </c>
      <c r="J275" s="6">
        <v>2513.4</v>
      </c>
      <c r="K275" s="6">
        <v>728.7</v>
      </c>
      <c r="L275" s="6">
        <v>273.8</v>
      </c>
      <c r="M275" s="6">
        <v>802.6</v>
      </c>
      <c r="N275" s="6">
        <v>50.2</v>
      </c>
      <c r="O275" s="6">
        <v>7040.6</v>
      </c>
      <c r="P275" s="6">
        <v>649.29999999999995</v>
      </c>
    </row>
    <row r="276" spans="2:16" s="8" customFormat="1" ht="34.9" hidden="1" customHeight="1">
      <c r="B276" s="15">
        <v>45689</v>
      </c>
      <c r="C276" s="11">
        <v>2731.6</v>
      </c>
      <c r="D276" s="10">
        <v>4182.46</v>
      </c>
      <c r="E276" s="10">
        <v>2010.79</v>
      </c>
      <c r="F276" s="10">
        <v>1102.1400000000001</v>
      </c>
      <c r="G276" s="10">
        <v>1598.86</v>
      </c>
      <c r="H276" s="11">
        <v>1768.02</v>
      </c>
      <c r="I276" s="10">
        <v>1005.39</v>
      </c>
      <c r="J276" s="10">
        <v>2565.98</v>
      </c>
      <c r="K276" s="10">
        <v>702.57</v>
      </c>
      <c r="L276" s="10">
        <v>266.08999999999997</v>
      </c>
      <c r="M276" s="10">
        <v>816.94</v>
      </c>
      <c r="N276" s="10">
        <v>50.15</v>
      </c>
      <c r="O276" s="10">
        <v>7026.09</v>
      </c>
      <c r="P276" s="10">
        <v>657.44</v>
      </c>
    </row>
    <row r="277" spans="2:16" s="8" customFormat="1" ht="34.9" hidden="1" customHeight="1">
      <c r="B277" s="14">
        <v>45717</v>
      </c>
      <c r="C277" s="7">
        <v>2737.28</v>
      </c>
      <c r="D277" s="6">
        <v>4188.84</v>
      </c>
      <c r="E277" s="6">
        <v>2075.89</v>
      </c>
      <c r="F277" s="6">
        <v>1092.1600000000001</v>
      </c>
      <c r="G277" s="6">
        <v>1603.49</v>
      </c>
      <c r="H277" s="7">
        <v>1788.53</v>
      </c>
      <c r="I277" s="6">
        <v>983.57</v>
      </c>
      <c r="J277" s="6">
        <v>2518.7600000000002</v>
      </c>
      <c r="K277" s="6">
        <v>691.12</v>
      </c>
      <c r="L277" s="6">
        <v>270.42</v>
      </c>
      <c r="M277" s="6">
        <v>810.67</v>
      </c>
      <c r="N277" s="6">
        <v>50.15</v>
      </c>
      <c r="O277" s="6">
        <v>7245.71</v>
      </c>
      <c r="P277" s="6">
        <v>627.70000000000005</v>
      </c>
    </row>
    <row r="278" spans="2:16" s="8" customFormat="1" ht="34.9" hidden="1" customHeight="1">
      <c r="B278" s="15">
        <v>45748</v>
      </c>
      <c r="C278" s="11">
        <v>2634.26</v>
      </c>
      <c r="D278" s="10">
        <v>4016.86</v>
      </c>
      <c r="E278" s="10">
        <v>2057.63</v>
      </c>
      <c r="F278" s="10">
        <v>1079.56</v>
      </c>
      <c r="G278" s="10">
        <v>1576.24</v>
      </c>
      <c r="H278" s="11">
        <v>1670.18</v>
      </c>
      <c r="I278" s="10">
        <v>968.42</v>
      </c>
      <c r="J278" s="10">
        <v>2403.3200000000002</v>
      </c>
      <c r="K278" s="10">
        <v>694.96</v>
      </c>
      <c r="L278" s="10">
        <v>269.97000000000003</v>
      </c>
      <c r="M278" s="10">
        <v>810.3</v>
      </c>
      <c r="N278" s="10">
        <v>50.15</v>
      </c>
      <c r="O278" s="10">
        <v>6515.82</v>
      </c>
      <c r="P278" s="10">
        <v>614.57000000000005</v>
      </c>
    </row>
    <row r="279" spans="2:16" s="8" customFormat="1" ht="34.9" hidden="1" customHeight="1">
      <c r="B279" s="14">
        <v>45778</v>
      </c>
      <c r="C279" s="7">
        <v>2807.49</v>
      </c>
      <c r="D279" s="6">
        <v>4298.54</v>
      </c>
      <c r="E279" s="6">
        <v>2087.16</v>
      </c>
      <c r="F279" s="6">
        <v>1118.99</v>
      </c>
      <c r="G279" s="6">
        <v>1634.92</v>
      </c>
      <c r="H279" s="7">
        <v>1742.59</v>
      </c>
      <c r="I279" s="6">
        <v>949.64</v>
      </c>
      <c r="J279" s="6">
        <v>2517.98</v>
      </c>
      <c r="K279" s="6">
        <v>708.99</v>
      </c>
      <c r="L279" s="6">
        <v>294.91000000000003</v>
      </c>
      <c r="M279" s="6">
        <v>764.17</v>
      </c>
      <c r="N279" s="6">
        <v>50.15</v>
      </c>
      <c r="O279" s="6">
        <v>6906.52</v>
      </c>
      <c r="P279" s="6">
        <v>661.27</v>
      </c>
    </row>
    <row r="280" spans="2:16" s="8" customFormat="1" ht="34.9" hidden="1" customHeight="1">
      <c r="B280" s="15">
        <v>45810</v>
      </c>
      <c r="C280" s="11">
        <v>2867.82</v>
      </c>
      <c r="D280" s="10">
        <v>4393.92</v>
      </c>
      <c r="E280" s="10">
        <v>2131.04</v>
      </c>
      <c r="F280" s="10">
        <v>1139.5999999999999</v>
      </c>
      <c r="G280" s="10">
        <v>1654.24</v>
      </c>
      <c r="H280" s="11">
        <v>1813.09</v>
      </c>
      <c r="I280" s="10">
        <v>946</v>
      </c>
      <c r="J280" s="10">
        <v>2503.9699999999998</v>
      </c>
      <c r="K280" s="10">
        <v>700.19</v>
      </c>
      <c r="L280" s="10">
        <v>300.81</v>
      </c>
      <c r="M280" s="10">
        <v>766.02</v>
      </c>
      <c r="N280" s="10">
        <v>50.15</v>
      </c>
      <c r="O280" s="10">
        <v>7379.57</v>
      </c>
      <c r="P280" s="10">
        <v>689.37</v>
      </c>
    </row>
    <row r="281" spans="2:16" s="8" customFormat="1" ht="34.9" hidden="1" customHeight="1">
      <c r="B281" s="14">
        <v>45863</v>
      </c>
      <c r="C281" s="7">
        <v>3008.89</v>
      </c>
      <c r="D281" s="6">
        <v>4600.96</v>
      </c>
      <c r="E281" s="6">
        <v>2104.6999999999998</v>
      </c>
      <c r="F281" s="6">
        <v>1138.5999999999999</v>
      </c>
      <c r="G281" s="6">
        <v>1943.72</v>
      </c>
      <c r="H281" s="7">
        <v>1835.54</v>
      </c>
      <c r="I281" s="6">
        <v>995.09</v>
      </c>
      <c r="J281" s="6">
        <v>2659.04</v>
      </c>
      <c r="K281" s="6">
        <v>695.03</v>
      </c>
      <c r="L281" s="6">
        <v>305.64999999999998</v>
      </c>
      <c r="M281" s="6">
        <v>769.34</v>
      </c>
      <c r="N281" s="6">
        <v>50.15</v>
      </c>
      <c r="O281" s="6">
        <v>7420.11</v>
      </c>
      <c r="P281" s="6">
        <v>677.73</v>
      </c>
    </row>
    <row r="282" spans="2:16" s="8" customFormat="1" ht="34.5" customHeight="1">
      <c r="B282" s="15">
        <v>45894</v>
      </c>
      <c r="C282" s="11">
        <v>3072.71</v>
      </c>
      <c r="D282" s="10">
        <v>4700.83</v>
      </c>
      <c r="E282" s="10">
        <v>2165.98</v>
      </c>
      <c r="F282" s="10">
        <v>1123.1300000000001</v>
      </c>
      <c r="G282" s="10">
        <v>2014.86</v>
      </c>
      <c r="H282" s="11">
        <v>1852.41</v>
      </c>
      <c r="I282" s="10">
        <v>985.39</v>
      </c>
      <c r="J282" s="10">
        <v>2645.89</v>
      </c>
      <c r="K282" s="10">
        <v>705.96</v>
      </c>
      <c r="L282" s="10">
        <v>323.37</v>
      </c>
      <c r="M282" s="10">
        <v>777.45</v>
      </c>
      <c r="N282" s="10">
        <v>50.15</v>
      </c>
      <c r="O282" s="10">
        <v>7496.05</v>
      </c>
      <c r="P282" s="10">
        <v>676.2</v>
      </c>
    </row>
    <row r="283" spans="2:16" s="8" customFormat="1" ht="34.9" customHeight="1">
      <c r="B283" s="14">
        <v>45925</v>
      </c>
      <c r="C283" s="7">
        <v>3084.83</v>
      </c>
      <c r="D283" s="6">
        <v>4721.43</v>
      </c>
      <c r="E283" s="6">
        <v>2206.23</v>
      </c>
      <c r="F283" s="6">
        <v>1112.47</v>
      </c>
      <c r="G283" s="6">
        <v>2010.8</v>
      </c>
      <c r="H283" s="7">
        <v>1933.83</v>
      </c>
      <c r="I283" s="6">
        <v>973.88</v>
      </c>
      <c r="J283" s="6">
        <v>2638.98</v>
      </c>
      <c r="K283" s="6">
        <v>712.96</v>
      </c>
      <c r="L283" s="6">
        <v>323.48</v>
      </c>
      <c r="M283" s="6">
        <v>789.63</v>
      </c>
      <c r="N283" s="6">
        <v>50.15</v>
      </c>
      <c r="O283" s="6">
        <v>8040.29</v>
      </c>
      <c r="P283" s="6">
        <v>671.76</v>
      </c>
    </row>
    <row r="284" spans="2:16" s="8" customFormat="1" ht="34.9" customHeight="1">
      <c r="B284" s="15">
        <v>45955</v>
      </c>
      <c r="C284" s="11">
        <v>3472.83</v>
      </c>
      <c r="D284" s="10">
        <v>5384.04</v>
      </c>
      <c r="E284" s="10">
        <v>2268.15</v>
      </c>
      <c r="F284" s="10">
        <v>1114.3</v>
      </c>
      <c r="G284" s="10">
        <v>2065.39</v>
      </c>
      <c r="H284" s="11">
        <v>1980.93</v>
      </c>
      <c r="I284" s="10">
        <v>982.36</v>
      </c>
      <c r="J284" s="10">
        <v>2700.8</v>
      </c>
      <c r="K284" s="10">
        <v>740.8</v>
      </c>
      <c r="L284" s="10">
        <v>339.29</v>
      </c>
      <c r="M284" s="10">
        <v>805.87</v>
      </c>
      <c r="N284" s="10">
        <v>50.15</v>
      </c>
      <c r="O284" s="10">
        <v>8227.7800000000007</v>
      </c>
      <c r="P284" s="10">
        <v>681.16</v>
      </c>
    </row>
    <row r="285" spans="2:16" s="8" customFormat="1" ht="34.9" customHeight="1">
      <c r="B285" s="14">
        <v>45986</v>
      </c>
      <c r="C285" s="7">
        <v>3599.08</v>
      </c>
      <c r="D285" s="6">
        <v>5589.11</v>
      </c>
      <c r="E285" s="6">
        <v>2374.94</v>
      </c>
      <c r="F285" s="6">
        <v>1142.74</v>
      </c>
      <c r="G285" s="6">
        <v>2075.5300000000002</v>
      </c>
      <c r="H285" s="7">
        <v>2049.7399999999998</v>
      </c>
      <c r="I285" s="6">
        <v>1006.6</v>
      </c>
      <c r="J285" s="6">
        <v>2794.95</v>
      </c>
      <c r="K285" s="6">
        <v>768.9</v>
      </c>
      <c r="L285" s="6">
        <v>352.39</v>
      </c>
      <c r="M285" s="6">
        <v>818.05</v>
      </c>
      <c r="N285" s="6">
        <v>50.15</v>
      </c>
      <c r="O285" s="6">
        <v>8559.48</v>
      </c>
      <c r="P285" s="6">
        <v>676.92</v>
      </c>
    </row>
    <row r="286" spans="2:16" s="8" customFormat="1" ht="34.9" customHeight="1">
      <c r="B286" s="60">
        <v>46016</v>
      </c>
      <c r="C286" s="62">
        <v>3775.55</v>
      </c>
      <c r="D286" s="61">
        <v>5877.2</v>
      </c>
      <c r="E286" s="61">
        <v>2341.0100000000002</v>
      </c>
      <c r="F286" s="61">
        <v>1186.95</v>
      </c>
      <c r="G286" s="61">
        <v>2174.11</v>
      </c>
      <c r="H286" s="62">
        <v>2172.31</v>
      </c>
      <c r="I286" s="61">
        <v>1069.6300000000001</v>
      </c>
      <c r="J286" s="61">
        <v>2991.15</v>
      </c>
      <c r="K286" s="61">
        <v>776.76</v>
      </c>
      <c r="L286" s="61">
        <v>394.31</v>
      </c>
      <c r="M286" s="61">
        <v>823.58</v>
      </c>
      <c r="N286" s="61">
        <v>50.15</v>
      </c>
      <c r="O286" s="61">
        <v>9155.3700000000008</v>
      </c>
      <c r="P286" s="61">
        <v>686.83</v>
      </c>
    </row>
    <row r="287" spans="2:16" s="8" customFormat="1" ht="34.5" customHeight="1">
      <c r="B287" s="3">
        <v>2026</v>
      </c>
      <c r="C287" s="13"/>
      <c r="D287" s="12"/>
      <c r="E287" s="12"/>
      <c r="F287" s="12"/>
      <c r="G287" s="12"/>
      <c r="H287" s="13"/>
      <c r="I287" s="12"/>
      <c r="J287" s="12"/>
      <c r="K287" s="12"/>
      <c r="L287" s="12"/>
      <c r="M287" s="12"/>
      <c r="N287" s="12"/>
      <c r="O287" s="12"/>
      <c r="P287" s="12"/>
    </row>
    <row r="288" spans="2:16" s="8" customFormat="1" ht="34.5" customHeight="1">
      <c r="B288" s="14">
        <v>46023</v>
      </c>
      <c r="C288" s="7">
        <v>3671.24</v>
      </c>
      <c r="D288" s="6">
        <v>5702.57</v>
      </c>
      <c r="E288" s="6">
        <v>2362.92</v>
      </c>
      <c r="F288" s="6">
        <v>1165.72</v>
      </c>
      <c r="G288" s="6">
        <v>2139.6</v>
      </c>
      <c r="H288" s="7">
        <v>2117.9299999999998</v>
      </c>
      <c r="I288" s="6">
        <v>1032.6600000000001</v>
      </c>
      <c r="J288" s="6">
        <v>2955.86</v>
      </c>
      <c r="K288" s="6">
        <v>787.24</v>
      </c>
      <c r="L288" s="6">
        <v>380.23</v>
      </c>
      <c r="M288" s="6">
        <v>847.2</v>
      </c>
      <c r="N288" s="6">
        <v>50.15</v>
      </c>
      <c r="O288" s="6">
        <v>8813.76</v>
      </c>
      <c r="P288" s="6">
        <v>673.53</v>
      </c>
    </row>
    <row r="289" spans="2:16" s="8" customFormat="1" ht="34.5" customHeight="1">
      <c r="B289" s="15">
        <v>46054</v>
      </c>
      <c r="C289" s="11">
        <v>3618.85</v>
      </c>
      <c r="D289" s="10">
        <v>5628.29</v>
      </c>
      <c r="E289" s="10">
        <v>2344.4</v>
      </c>
      <c r="F289" s="10">
        <v>1131.81</v>
      </c>
      <c r="G289" s="10">
        <v>2073.75</v>
      </c>
      <c r="H289" s="11">
        <v>2260.3000000000002</v>
      </c>
      <c r="I289" s="10">
        <v>1022.96</v>
      </c>
      <c r="J289" s="10">
        <v>3137.7</v>
      </c>
      <c r="K289" s="10">
        <v>781.58</v>
      </c>
      <c r="L289" s="10">
        <v>380.11</v>
      </c>
      <c r="M289" s="10">
        <v>886.68</v>
      </c>
      <c r="N289" s="10">
        <v>50.15</v>
      </c>
      <c r="O289" s="10">
        <v>9613.0400000000009</v>
      </c>
      <c r="P289" s="10">
        <v>652.04</v>
      </c>
    </row>
    <row r="290" spans="2:16" s="8" customFormat="1" ht="34.5" customHeight="1">
      <c r="B290" s="14">
        <v>46082</v>
      </c>
      <c r="C290" s="7">
        <v>3583.93</v>
      </c>
      <c r="D290" s="6">
        <v>5571.46</v>
      </c>
      <c r="E290" s="6">
        <v>2468.0100000000002</v>
      </c>
      <c r="F290" s="6">
        <v>1084.03</v>
      </c>
      <c r="G290" s="6">
        <v>2046.11</v>
      </c>
      <c r="H290" s="7">
        <v>2305.58</v>
      </c>
      <c r="I290" s="6">
        <v>1021.15</v>
      </c>
      <c r="J290" s="6">
        <v>3249.67</v>
      </c>
      <c r="K290" s="6">
        <v>737.96</v>
      </c>
      <c r="L290" s="6">
        <v>373.61</v>
      </c>
      <c r="M290" s="6">
        <v>932.08</v>
      </c>
      <c r="N290" s="6">
        <v>50.15</v>
      </c>
      <c r="O290" s="6">
        <v>9803.33</v>
      </c>
      <c r="P290" s="6">
        <v>687.45</v>
      </c>
    </row>
    <row r="291" spans="2:16" s="8" customFormat="1" ht="34.5" customHeight="1">
      <c r="B291" s="15">
        <v>46113</v>
      </c>
      <c r="C291" s="11">
        <v>3792.28</v>
      </c>
      <c r="D291" s="10">
        <v>5903.07</v>
      </c>
      <c r="E291" s="10">
        <v>2541.35</v>
      </c>
      <c r="F291" s="10">
        <v>1157.33</v>
      </c>
      <c r="G291" s="10">
        <v>2131.67</v>
      </c>
      <c r="H291" s="11">
        <v>2641</v>
      </c>
      <c r="I291" s="10">
        <v>1017.51</v>
      </c>
      <c r="J291" s="10">
        <v>3248.27</v>
      </c>
      <c r="K291" s="10">
        <v>741.61</v>
      </c>
      <c r="L291" s="10">
        <v>380.22</v>
      </c>
      <c r="M291" s="10">
        <v>1167.8800000000001</v>
      </c>
      <c r="N291" s="10">
        <v>50.15</v>
      </c>
      <c r="O291" s="10">
        <v>11741.29</v>
      </c>
      <c r="P291" s="10">
        <v>663.97</v>
      </c>
    </row>
    <row r="292" spans="2:16" s="8" customFormat="1" ht="34.5" customHeight="1">
      <c r="B292" s="14">
        <v>46143</v>
      </c>
      <c r="C292" s="7">
        <v>3906.14</v>
      </c>
      <c r="D292" s="6">
        <v>6078.64</v>
      </c>
      <c r="E292" s="6">
        <v>2627.36</v>
      </c>
      <c r="F292" s="6">
        <v>1199.98</v>
      </c>
      <c r="G292" s="6">
        <v>2192.41</v>
      </c>
      <c r="H292" s="7">
        <v>2737.07</v>
      </c>
      <c r="I292" s="6">
        <v>1019.33</v>
      </c>
      <c r="J292" s="6">
        <v>3356.9</v>
      </c>
      <c r="K292" s="6">
        <v>738.71</v>
      </c>
      <c r="L292" s="6">
        <v>379.9</v>
      </c>
      <c r="M292" s="6">
        <v>999.97</v>
      </c>
      <c r="N292" s="6">
        <v>50.15</v>
      </c>
      <c r="O292" s="6">
        <v>12554.21</v>
      </c>
      <c r="P292" s="6">
        <v>672.17</v>
      </c>
    </row>
    <row r="293" spans="2:16" s="8" customFormat="1" ht="34.5" customHeight="1">
      <c r="B293" s="15">
        <v>46175</v>
      </c>
      <c r="C293" s="11">
        <v>3801.67</v>
      </c>
      <c r="D293" s="10">
        <v>5895.41</v>
      </c>
      <c r="E293" s="10">
        <v>2694.42</v>
      </c>
      <c r="F293" s="10">
        <v>1193.97</v>
      </c>
      <c r="G293" s="10">
        <v>2173.5300000000002</v>
      </c>
      <c r="H293" s="11">
        <v>2589.38</v>
      </c>
      <c r="I293" s="10">
        <v>1019.33</v>
      </c>
      <c r="J293" s="10">
        <v>3201.19</v>
      </c>
      <c r="K293" s="10">
        <v>761.85</v>
      </c>
      <c r="L293" s="10">
        <v>374.37</v>
      </c>
      <c r="M293" s="10">
        <v>978.94</v>
      </c>
      <c r="N293" s="10">
        <v>50.15</v>
      </c>
      <c r="O293" s="10">
        <v>11656.96</v>
      </c>
      <c r="P293" s="10">
        <v>691.24</v>
      </c>
    </row>
    <row r="294" spans="2:16" s="8" customFormat="1" ht="34.5" customHeight="1">
      <c r="B294" s="14">
        <v>46229</v>
      </c>
      <c r="C294" s="7">
        <v>3971.8</v>
      </c>
      <c r="D294" s="6">
        <v>6160.37</v>
      </c>
      <c r="E294" s="6">
        <v>2777.36</v>
      </c>
      <c r="F294" s="6">
        <v>1209.96</v>
      </c>
      <c r="G294" s="6">
        <v>2330.73</v>
      </c>
      <c r="H294" s="7">
        <v>2667.69</v>
      </c>
      <c r="I294" s="6">
        <v>1019.33</v>
      </c>
      <c r="J294" s="6">
        <v>3437.85</v>
      </c>
      <c r="K294" s="6">
        <v>749</v>
      </c>
      <c r="L294" s="6">
        <v>401.11</v>
      </c>
      <c r="M294" s="6">
        <v>1059.5999999999999</v>
      </c>
      <c r="N294" s="6">
        <v>50.15</v>
      </c>
      <c r="O294" s="6">
        <v>11824.62</v>
      </c>
      <c r="P294" s="6">
        <v>719.58</v>
      </c>
    </row>
    <row r="295" spans="2:16" s="8" customFormat="1" ht="34.5" customHeight="1">
      <c r="B295" s="60">
        <v>46252</v>
      </c>
      <c r="C295" s="62">
        <v>3884.93</v>
      </c>
      <c r="D295" s="61">
        <v>5981.36</v>
      </c>
      <c r="E295" s="61">
        <v>2886.31</v>
      </c>
      <c r="F295" s="61">
        <v>1240.55</v>
      </c>
      <c r="G295" s="61">
        <v>2429.15</v>
      </c>
      <c r="H295" s="62">
        <v>2711.19</v>
      </c>
      <c r="I295" s="61">
        <v>1010.1</v>
      </c>
      <c r="J295" s="61">
        <v>3634.26</v>
      </c>
      <c r="K295" s="61">
        <v>749.95</v>
      </c>
      <c r="L295" s="61">
        <v>437.34</v>
      </c>
      <c r="M295" s="61">
        <v>1056.28</v>
      </c>
      <c r="N295" s="61">
        <v>50.15</v>
      </c>
      <c r="O295" s="61">
        <v>11884.55</v>
      </c>
      <c r="P295" s="61">
        <v>750.5</v>
      </c>
    </row>
    <row r="296" spans="2:16" s="8" customFormat="1" ht="10.15" customHeight="1">
      <c r="B296" s="71"/>
      <c r="C296" s="73"/>
      <c r="D296" s="72"/>
      <c r="E296" s="72"/>
      <c r="F296" s="72"/>
      <c r="G296" s="72"/>
      <c r="H296" s="73"/>
      <c r="I296" s="72"/>
      <c r="J296" s="72"/>
      <c r="K296" s="72"/>
      <c r="L296" s="72"/>
      <c r="M296" s="72"/>
      <c r="N296" s="72"/>
      <c r="O296" s="72"/>
      <c r="P296" s="72"/>
    </row>
    <row r="297" spans="2:16" s="87" customFormat="1" ht="30" customHeight="1">
      <c r="B297" s="130" t="s">
        <v>67</v>
      </c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131" t="s">
        <v>93</v>
      </c>
    </row>
    <row r="298" spans="2:16" s="82" customFormat="1" ht="52.5" customHeight="1">
      <c r="B298" s="161" t="s">
        <v>150</v>
      </c>
      <c r="C298" s="161"/>
      <c r="D298" s="161"/>
      <c r="E298" s="161"/>
      <c r="F298" s="161"/>
      <c r="G298" s="161"/>
      <c r="H298" s="4"/>
      <c r="I298" s="4"/>
      <c r="J298" s="141"/>
      <c r="K298" s="174" t="s">
        <v>154</v>
      </c>
      <c r="L298" s="174"/>
      <c r="M298" s="174"/>
      <c r="N298" s="174"/>
      <c r="O298" s="174"/>
      <c r="P298" s="174"/>
    </row>
    <row r="299" spans="2:16" ht="15.7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81" spans="2:12">
      <c r="B381" s="138"/>
      <c r="C381" s="138"/>
      <c r="D381" s="138"/>
      <c r="E381" s="138"/>
      <c r="F381" s="138"/>
      <c r="G381" s="138"/>
      <c r="H381" s="138"/>
      <c r="I381" s="138"/>
      <c r="J381" s="138"/>
      <c r="K381" s="138"/>
      <c r="L381" s="138"/>
    </row>
  </sheetData>
  <sortState ref="B263:P266">
    <sortCondition descending="1" ref="B263"/>
  </sortState>
  <mergeCells count="14">
    <mergeCell ref="B298:G298"/>
    <mergeCell ref="K298:P298"/>
    <mergeCell ref="B2:D2"/>
    <mergeCell ref="N2:P2"/>
    <mergeCell ref="C7:G7"/>
    <mergeCell ref="C6:G6"/>
    <mergeCell ref="H7:P7"/>
    <mergeCell ref="H6:P6"/>
    <mergeCell ref="B6:B8"/>
    <mergeCell ref="E2:M2"/>
    <mergeCell ref="D4:N4"/>
    <mergeCell ref="D3:N3"/>
    <mergeCell ref="O3:P3"/>
    <mergeCell ref="O4:P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P382"/>
  <sheetViews>
    <sheetView rightToLeft="1" zoomScale="40" zoomScaleNormal="40" workbookViewId="0">
      <selection activeCell="E2" sqref="E2:M2"/>
    </sheetView>
  </sheetViews>
  <sheetFormatPr defaultColWidth="9.140625" defaultRowHeight="15"/>
  <cols>
    <col min="1" max="1" width="10.7109375" customWidth="1"/>
    <col min="2" max="2" width="22.7109375" customWidth="1"/>
    <col min="3" max="16" width="24.7109375" customWidth="1"/>
    <col min="17" max="17" width="13.7109375" customWidth="1"/>
    <col min="18" max="18" width="13.85546875" customWidth="1"/>
  </cols>
  <sheetData>
    <row r="1" spans="2:16" ht="18" customHeight="1"/>
    <row r="2" spans="2:16" ht="40.15" customHeight="1">
      <c r="B2" s="189" t="s">
        <v>130</v>
      </c>
      <c r="C2" s="189"/>
      <c r="D2" s="189"/>
      <c r="E2" s="198" t="s">
        <v>102</v>
      </c>
      <c r="F2" s="198"/>
      <c r="G2" s="198"/>
      <c r="H2" s="198"/>
      <c r="I2" s="198"/>
      <c r="J2" s="198"/>
      <c r="K2" s="198"/>
      <c r="L2" s="198"/>
      <c r="M2" s="198"/>
      <c r="N2" s="163" t="s">
        <v>106</v>
      </c>
      <c r="O2" s="163"/>
      <c r="P2" s="163"/>
    </row>
    <row r="3" spans="2:16" ht="40.15" customHeight="1">
      <c r="B3" s="63"/>
      <c r="C3" s="63"/>
      <c r="D3" s="164" t="s">
        <v>131</v>
      </c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87" t="s">
        <v>133</v>
      </c>
      <c r="P3" s="187"/>
    </row>
    <row r="4" spans="2:16" s="90" customFormat="1" ht="40.15" customHeight="1">
      <c r="B4" s="21"/>
      <c r="C4" s="85"/>
      <c r="D4" s="165" t="s">
        <v>134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88" t="s">
        <v>132</v>
      </c>
      <c r="P4" s="188"/>
    </row>
    <row r="5" spans="2:16" ht="10.15" customHeight="1">
      <c r="B5" s="21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6" ht="39.950000000000003" customHeight="1">
      <c r="B6" s="29"/>
      <c r="C6" s="182" t="s">
        <v>77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38"/>
      <c r="P6" s="39"/>
    </row>
    <row r="7" spans="2:16" ht="39.950000000000003" customHeight="1">
      <c r="B7" s="30"/>
      <c r="C7" s="180" t="s">
        <v>74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93" t="s">
        <v>76</v>
      </c>
      <c r="P7" s="195" t="s">
        <v>75</v>
      </c>
    </row>
    <row r="8" spans="2:16" ht="120" customHeight="1">
      <c r="B8" s="31"/>
      <c r="C8" s="35"/>
      <c r="D8" s="27" t="s">
        <v>52</v>
      </c>
      <c r="E8" s="27" t="s">
        <v>51</v>
      </c>
      <c r="F8" s="27" t="s">
        <v>50</v>
      </c>
      <c r="G8" s="27" t="s">
        <v>49</v>
      </c>
      <c r="H8" s="27" t="s">
        <v>48</v>
      </c>
      <c r="I8" s="27" t="s">
        <v>47</v>
      </c>
      <c r="J8" s="27" t="s">
        <v>46</v>
      </c>
      <c r="K8" s="27" t="s">
        <v>45</v>
      </c>
      <c r="L8" s="27" t="s">
        <v>44</v>
      </c>
      <c r="M8" s="27" t="s">
        <v>43</v>
      </c>
      <c r="N8" s="27" t="s">
        <v>42</v>
      </c>
      <c r="O8" s="194"/>
      <c r="P8" s="179"/>
    </row>
    <row r="9" spans="2:16" ht="38.25" customHeight="1">
      <c r="B9" s="3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91" t="s">
        <v>73</v>
      </c>
      <c r="P9" s="196" t="s">
        <v>136</v>
      </c>
    </row>
    <row r="10" spans="2:16" ht="105" customHeight="1">
      <c r="B10" s="40"/>
      <c r="C10" s="34"/>
      <c r="D10" s="80" t="s">
        <v>111</v>
      </c>
      <c r="E10" s="80" t="s">
        <v>38</v>
      </c>
      <c r="F10" s="80" t="s">
        <v>37</v>
      </c>
      <c r="G10" s="80" t="s">
        <v>36</v>
      </c>
      <c r="H10" s="80" t="s">
        <v>35</v>
      </c>
      <c r="I10" s="80" t="s">
        <v>34</v>
      </c>
      <c r="J10" s="80" t="s">
        <v>33</v>
      </c>
      <c r="K10" s="80" t="s">
        <v>32</v>
      </c>
      <c r="L10" s="80" t="s">
        <v>31</v>
      </c>
      <c r="M10" s="80" t="s">
        <v>30</v>
      </c>
      <c r="N10" s="80" t="s">
        <v>29</v>
      </c>
      <c r="O10" s="192"/>
      <c r="P10" s="197"/>
    </row>
    <row r="11" spans="2:16" ht="40.15" customHeight="1">
      <c r="B11" s="26" t="s">
        <v>79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2:16" s="8" customFormat="1" ht="34.9" hidden="1" customHeight="1">
      <c r="B12" s="5">
        <v>2004</v>
      </c>
      <c r="C12" s="7">
        <v>2344.5</v>
      </c>
      <c r="D12" s="6">
        <v>3153</v>
      </c>
      <c r="E12" s="6">
        <v>1667.1</v>
      </c>
      <c r="F12" s="6">
        <v>1234.5</v>
      </c>
      <c r="G12" s="6">
        <v>2514.3000000000002</v>
      </c>
      <c r="H12" s="6">
        <v>1660.7</v>
      </c>
      <c r="I12" s="6">
        <v>3503.3</v>
      </c>
      <c r="J12" s="6">
        <v>2607.1</v>
      </c>
      <c r="K12" s="6">
        <v>3009.2</v>
      </c>
      <c r="L12" s="6">
        <v>4538.6000000000004</v>
      </c>
      <c r="M12" s="6">
        <v>1507.7</v>
      </c>
      <c r="N12" s="6">
        <v>2887.1</v>
      </c>
      <c r="O12" s="7">
        <v>2729.1</v>
      </c>
      <c r="P12" s="7">
        <v>54.9</v>
      </c>
    </row>
    <row r="13" spans="2:16" s="8" customFormat="1" ht="34.9" hidden="1" customHeight="1">
      <c r="B13" s="9">
        <v>2005</v>
      </c>
      <c r="C13" s="11">
        <v>2815.6</v>
      </c>
      <c r="D13" s="10">
        <v>3325.4</v>
      </c>
      <c r="E13" s="10">
        <v>2054.6</v>
      </c>
      <c r="F13" s="10">
        <v>1442.9</v>
      </c>
      <c r="G13" s="10">
        <v>2055.3000000000002</v>
      </c>
      <c r="H13" s="10">
        <v>2246.3000000000002</v>
      </c>
      <c r="I13" s="10">
        <v>4140.8</v>
      </c>
      <c r="J13" s="10">
        <v>2702</v>
      </c>
      <c r="K13" s="10">
        <v>3365.7</v>
      </c>
      <c r="L13" s="10">
        <v>9907.7000000000007</v>
      </c>
      <c r="M13" s="10">
        <v>3124.7</v>
      </c>
      <c r="N13" s="10">
        <v>2300</v>
      </c>
      <c r="O13" s="11">
        <v>4259.7</v>
      </c>
      <c r="P13" s="11">
        <v>56.1</v>
      </c>
    </row>
    <row r="14" spans="2:16" s="8" customFormat="1" ht="34.9" hidden="1" customHeight="1">
      <c r="B14" s="5">
        <v>2006</v>
      </c>
      <c r="C14" s="7">
        <v>2372.3000000000002</v>
      </c>
      <c r="D14" s="6">
        <v>2609.1999999999998</v>
      </c>
      <c r="E14" s="6">
        <v>1727.8</v>
      </c>
      <c r="F14" s="6">
        <v>1283.5999999999999</v>
      </c>
      <c r="G14" s="6">
        <v>2026</v>
      </c>
      <c r="H14" s="6">
        <v>2103.5</v>
      </c>
      <c r="I14" s="6">
        <v>2566</v>
      </c>
      <c r="J14" s="6">
        <v>2535.6999999999998</v>
      </c>
      <c r="K14" s="6">
        <v>3139.9</v>
      </c>
      <c r="L14" s="6">
        <v>7794.8</v>
      </c>
      <c r="M14" s="6">
        <v>2078.1</v>
      </c>
      <c r="N14" s="6">
        <v>1181.3</v>
      </c>
      <c r="O14" s="7">
        <v>3013.7</v>
      </c>
      <c r="P14" s="7">
        <v>-29.3</v>
      </c>
    </row>
    <row r="15" spans="2:16" s="8" customFormat="1" ht="34.9" hidden="1" customHeight="1">
      <c r="B15" s="9">
        <v>2007</v>
      </c>
      <c r="C15" s="11">
        <v>3097.7</v>
      </c>
      <c r="D15" s="10">
        <v>2374.6</v>
      </c>
      <c r="E15" s="10">
        <v>1952.8</v>
      </c>
      <c r="F15" s="10">
        <v>1262.8</v>
      </c>
      <c r="G15" s="10">
        <v>2487.1</v>
      </c>
      <c r="H15" s="10">
        <v>2146.8000000000002</v>
      </c>
      <c r="I15" s="10">
        <v>2487.8000000000002</v>
      </c>
      <c r="J15" s="10">
        <v>4311.8</v>
      </c>
      <c r="K15" s="10">
        <v>3362.1</v>
      </c>
      <c r="L15" s="10">
        <v>8864.7999999999993</v>
      </c>
      <c r="M15" s="10">
        <v>2554.6999999999998</v>
      </c>
      <c r="N15" s="10">
        <v>1467.4</v>
      </c>
      <c r="O15" s="11">
        <v>3675</v>
      </c>
      <c r="P15" s="11">
        <v>21.943126389488015</v>
      </c>
    </row>
    <row r="16" spans="2:16" s="8" customFormat="1" ht="34.9" hidden="1" customHeight="1">
      <c r="B16" s="5">
        <v>2008</v>
      </c>
      <c r="C16" s="7">
        <v>2736</v>
      </c>
      <c r="D16" s="6">
        <v>1914.1</v>
      </c>
      <c r="E16" s="6">
        <v>1464.1</v>
      </c>
      <c r="F16" s="6">
        <v>803.6</v>
      </c>
      <c r="G16" s="6">
        <v>1539.6</v>
      </c>
      <c r="H16" s="6">
        <v>2308.4</v>
      </c>
      <c r="I16" s="6">
        <v>1608.3</v>
      </c>
      <c r="J16" s="6">
        <v>4380</v>
      </c>
      <c r="K16" s="6">
        <v>2915.7</v>
      </c>
      <c r="L16" s="6">
        <v>5883.8</v>
      </c>
      <c r="M16" s="6">
        <v>2050.1999999999998</v>
      </c>
      <c r="N16" s="6">
        <v>1050.0999999999999</v>
      </c>
      <c r="O16" s="7">
        <v>2758.4</v>
      </c>
      <c r="P16" s="7">
        <v>-24.9</v>
      </c>
    </row>
    <row r="17" spans="2:16" s="8" customFormat="1" ht="34.9" hidden="1" customHeight="1">
      <c r="B17" s="9">
        <v>2009</v>
      </c>
      <c r="C17" s="11">
        <v>2738.8</v>
      </c>
      <c r="D17" s="10">
        <v>1994.6</v>
      </c>
      <c r="E17" s="10">
        <v>1639.1</v>
      </c>
      <c r="F17" s="10">
        <v>517.29999999999995</v>
      </c>
      <c r="G17" s="10">
        <v>1459</v>
      </c>
      <c r="H17" s="10">
        <v>1924.4</v>
      </c>
      <c r="I17" s="10">
        <v>2065.9</v>
      </c>
      <c r="J17" s="10">
        <v>4587.1000000000004</v>
      </c>
      <c r="K17" s="10">
        <v>1973.4</v>
      </c>
      <c r="L17" s="10">
        <v>4909.7</v>
      </c>
      <c r="M17" s="10">
        <v>1965.9</v>
      </c>
      <c r="N17" s="10">
        <v>978.9</v>
      </c>
      <c r="O17" s="11">
        <v>2533.5</v>
      </c>
      <c r="P17" s="11">
        <v>-8.1999999999999993</v>
      </c>
    </row>
    <row r="18" spans="2:16" s="8" customFormat="1" ht="34.9" hidden="1" customHeight="1">
      <c r="B18" s="5">
        <v>2010</v>
      </c>
      <c r="C18" s="7">
        <v>2576.6</v>
      </c>
      <c r="D18" s="6">
        <v>2070.5</v>
      </c>
      <c r="E18" s="6">
        <v>1530</v>
      </c>
      <c r="F18" s="6">
        <v>350.5</v>
      </c>
      <c r="G18" s="6">
        <v>1418.6</v>
      </c>
      <c r="H18" s="6">
        <v>1509.5</v>
      </c>
      <c r="I18" s="6">
        <v>2659.1</v>
      </c>
      <c r="J18" s="6">
        <v>4210.8999999999996</v>
      </c>
      <c r="K18" s="6">
        <v>1915.2</v>
      </c>
      <c r="L18" s="6">
        <v>3717.4</v>
      </c>
      <c r="M18" s="6">
        <v>1928.6</v>
      </c>
      <c r="N18" s="6">
        <v>735.2</v>
      </c>
      <c r="O18" s="7">
        <v>2373.6</v>
      </c>
      <c r="P18" s="7">
        <v>-6.3</v>
      </c>
    </row>
    <row r="19" spans="2:16" s="8" customFormat="1" ht="34.9" hidden="1" customHeight="1">
      <c r="B19" s="9">
        <v>2011</v>
      </c>
      <c r="C19" s="11">
        <v>2149.9</v>
      </c>
      <c r="D19" s="10">
        <v>1656.6</v>
      </c>
      <c r="E19" s="10">
        <v>1338.7</v>
      </c>
      <c r="F19" s="10">
        <v>223.6</v>
      </c>
      <c r="G19" s="10">
        <v>1431.3</v>
      </c>
      <c r="H19" s="10">
        <v>1315.2</v>
      </c>
      <c r="I19" s="10">
        <v>3176.2</v>
      </c>
      <c r="J19" s="10">
        <v>3397</v>
      </c>
      <c r="K19" s="10">
        <v>1819.6</v>
      </c>
      <c r="L19" s="10">
        <v>1909.3</v>
      </c>
      <c r="M19" s="10">
        <v>1982.4</v>
      </c>
      <c r="N19" s="10">
        <v>660.5</v>
      </c>
      <c r="O19" s="11">
        <v>1995.1</v>
      </c>
      <c r="P19" s="11">
        <v>-15.9</v>
      </c>
    </row>
    <row r="20" spans="2:16" s="8" customFormat="1" ht="34.9" hidden="1" customHeight="1">
      <c r="B20" s="5">
        <v>2012</v>
      </c>
      <c r="C20" s="7">
        <v>2176.6</v>
      </c>
      <c r="D20" s="6">
        <v>1100.5999999999999</v>
      </c>
      <c r="E20" s="6">
        <v>1455.5</v>
      </c>
      <c r="F20" s="6">
        <v>227.4</v>
      </c>
      <c r="G20" s="6">
        <v>1918</v>
      </c>
      <c r="H20" s="6">
        <v>1120.9000000000001</v>
      </c>
      <c r="I20" s="6">
        <v>5220.7</v>
      </c>
      <c r="J20" s="6">
        <v>3391.5</v>
      </c>
      <c r="K20" s="6">
        <v>2004.2</v>
      </c>
      <c r="L20" s="6">
        <v>1344.6</v>
      </c>
      <c r="M20" s="6">
        <v>1921.6</v>
      </c>
      <c r="N20" s="6">
        <v>870.4</v>
      </c>
      <c r="O20" s="7">
        <v>1957.6</v>
      </c>
      <c r="P20" s="7">
        <v>-1.9</v>
      </c>
    </row>
    <row r="21" spans="2:16" s="8" customFormat="1" ht="34.9" hidden="1" customHeight="1">
      <c r="B21" s="9">
        <v>2013</v>
      </c>
      <c r="C21" s="11">
        <v>1964.9</v>
      </c>
      <c r="D21" s="10">
        <v>1341.3</v>
      </c>
      <c r="E21" s="10">
        <v>1786.4</v>
      </c>
      <c r="F21" s="10">
        <v>122.8</v>
      </c>
      <c r="G21" s="10">
        <v>2118.4</v>
      </c>
      <c r="H21" s="10">
        <v>1161.5</v>
      </c>
      <c r="I21" s="10">
        <v>9363.9</v>
      </c>
      <c r="J21" s="10">
        <v>2247.1999999999998</v>
      </c>
      <c r="K21" s="10">
        <v>2233.6</v>
      </c>
      <c r="L21" s="10">
        <v>1921.2</v>
      </c>
      <c r="M21" s="10">
        <v>1953.4</v>
      </c>
      <c r="N21" s="10">
        <v>993.7</v>
      </c>
      <c r="O21" s="11">
        <v>2065.8000000000002</v>
      </c>
      <c r="P21" s="11">
        <v>5.5</v>
      </c>
    </row>
    <row r="22" spans="2:16" s="8" customFormat="1" ht="34.9" hidden="1" customHeight="1">
      <c r="B22" s="5">
        <v>2014</v>
      </c>
      <c r="C22" s="7">
        <v>1852</v>
      </c>
      <c r="D22" s="6">
        <v>2236.8000000000002</v>
      </c>
      <c r="E22" s="6">
        <v>2065.5</v>
      </c>
      <c r="F22" s="6">
        <v>94.7</v>
      </c>
      <c r="G22" s="6">
        <v>3062.3</v>
      </c>
      <c r="H22" s="6">
        <v>1349.9</v>
      </c>
      <c r="I22" s="6">
        <v>7732</v>
      </c>
      <c r="J22" s="6">
        <v>1960.1</v>
      </c>
      <c r="K22" s="6">
        <v>2044.1</v>
      </c>
      <c r="L22" s="6">
        <v>1847.7</v>
      </c>
      <c r="M22" s="6">
        <v>1828.9</v>
      </c>
      <c r="N22" s="6">
        <v>1096.8</v>
      </c>
      <c r="O22" s="7">
        <v>2165.5</v>
      </c>
      <c r="P22" s="7">
        <v>4.8</v>
      </c>
    </row>
    <row r="23" spans="2:16" s="8" customFormat="1" ht="34.9" hidden="1" customHeight="1">
      <c r="B23" s="9">
        <v>2015</v>
      </c>
      <c r="C23" s="11">
        <v>1848.84</v>
      </c>
      <c r="D23" s="10">
        <v>1731.42</v>
      </c>
      <c r="E23" s="10">
        <v>1646.77</v>
      </c>
      <c r="F23" s="10">
        <v>73.209999999999994</v>
      </c>
      <c r="G23" s="10">
        <v>3251.02</v>
      </c>
      <c r="H23" s="10">
        <v>1605.07</v>
      </c>
      <c r="I23" s="10">
        <v>10935.42</v>
      </c>
      <c r="J23" s="10">
        <v>1782.45</v>
      </c>
      <c r="K23" s="10">
        <v>1538.3</v>
      </c>
      <c r="L23" s="10">
        <v>1348.64</v>
      </c>
      <c r="M23" s="10">
        <v>1927.9</v>
      </c>
      <c r="N23" s="10">
        <v>1162.4000000000001</v>
      </c>
      <c r="O23" s="11">
        <v>2136.3200000000002</v>
      </c>
      <c r="P23" s="11">
        <v>-1.3</v>
      </c>
    </row>
    <row r="24" spans="2:16" s="8" customFormat="1" ht="34.9" hidden="1" customHeight="1">
      <c r="B24" s="5">
        <v>2016</v>
      </c>
      <c r="C24" s="7">
        <v>2092.9899999999998</v>
      </c>
      <c r="D24" s="6">
        <v>1539.23</v>
      </c>
      <c r="E24" s="6">
        <v>1544.11</v>
      </c>
      <c r="F24" s="6">
        <v>77.03</v>
      </c>
      <c r="G24" s="6">
        <v>4841.4799999999996</v>
      </c>
      <c r="H24" s="6">
        <v>1537.26</v>
      </c>
      <c r="I24" s="6">
        <v>18499.439999999999</v>
      </c>
      <c r="J24" s="6">
        <v>1502.11</v>
      </c>
      <c r="K24" s="6">
        <v>946.29</v>
      </c>
      <c r="L24" s="6">
        <v>1188.8499999999999</v>
      </c>
      <c r="M24" s="6">
        <v>2212.35</v>
      </c>
      <c r="N24" s="6">
        <v>1162.4000000000001</v>
      </c>
      <c r="O24" s="7">
        <v>2170.29</v>
      </c>
      <c r="P24" s="7">
        <v>1.6</v>
      </c>
    </row>
    <row r="25" spans="2:16" s="8" customFormat="1" ht="34.9" hidden="1" customHeight="1">
      <c r="B25" s="9">
        <v>2017</v>
      </c>
      <c r="C25" s="11">
        <v>2229.54</v>
      </c>
      <c r="D25" s="10">
        <v>1318.86</v>
      </c>
      <c r="E25" s="10">
        <v>1329.52</v>
      </c>
      <c r="F25" s="10">
        <v>70.67</v>
      </c>
      <c r="G25" s="10">
        <v>5827.71</v>
      </c>
      <c r="H25" s="10">
        <v>1380.1</v>
      </c>
      <c r="I25" s="10">
        <v>23817.07</v>
      </c>
      <c r="J25" s="10">
        <v>1460.48</v>
      </c>
      <c r="K25" s="10">
        <v>917.58</v>
      </c>
      <c r="L25" s="10">
        <v>1083.04</v>
      </c>
      <c r="M25" s="10">
        <v>1786.97</v>
      </c>
      <c r="N25" s="10">
        <v>1162.4000000000001</v>
      </c>
      <c r="O25" s="11">
        <v>2126.7800000000002</v>
      </c>
      <c r="P25" s="11">
        <v>-2</v>
      </c>
    </row>
    <row r="26" spans="2:16" s="8" customFormat="1" ht="34.9" hidden="1" customHeight="1">
      <c r="B26" s="5">
        <v>2018</v>
      </c>
      <c r="C26" s="7">
        <v>1882.7</v>
      </c>
      <c r="D26" s="6">
        <v>795.32</v>
      </c>
      <c r="E26" s="6">
        <v>1206.21</v>
      </c>
      <c r="F26" s="6">
        <v>63.43</v>
      </c>
      <c r="G26" s="6">
        <v>5038.7299999999996</v>
      </c>
      <c r="H26" s="6">
        <v>1315.71</v>
      </c>
      <c r="I26" s="6">
        <v>19161.27</v>
      </c>
      <c r="J26" s="6">
        <v>1360.35</v>
      </c>
      <c r="K26" s="6">
        <v>744.28</v>
      </c>
      <c r="L26" s="6">
        <v>973.74</v>
      </c>
      <c r="M26" s="6">
        <v>1708.29</v>
      </c>
      <c r="N26" s="6">
        <v>1162.416871274771</v>
      </c>
      <c r="O26" s="7">
        <v>1908.81</v>
      </c>
      <c r="P26" s="7">
        <v>-10.248826865026013</v>
      </c>
    </row>
    <row r="27" spans="2:16" s="8" customFormat="1" ht="34.9" hidden="1" customHeight="1">
      <c r="B27" s="9">
        <v>2019</v>
      </c>
      <c r="C27" s="11">
        <v>1856.97</v>
      </c>
      <c r="D27" s="10">
        <v>853.56</v>
      </c>
      <c r="E27" s="10">
        <v>1199.4000000000001</v>
      </c>
      <c r="F27" s="10">
        <v>57.3</v>
      </c>
      <c r="G27" s="10">
        <v>5540.81</v>
      </c>
      <c r="H27" s="10">
        <v>1589.93</v>
      </c>
      <c r="I27" s="10">
        <v>18118.21</v>
      </c>
      <c r="J27" s="10">
        <v>1446.62</v>
      </c>
      <c r="K27" s="10">
        <v>455.47</v>
      </c>
      <c r="L27" s="10">
        <v>952.58</v>
      </c>
      <c r="M27" s="10">
        <v>1497.7</v>
      </c>
      <c r="N27" s="10">
        <v>1162.416871274771</v>
      </c>
      <c r="O27" s="11">
        <v>1815.2</v>
      </c>
      <c r="P27" s="10">
        <v>-4.9041025560427647</v>
      </c>
    </row>
    <row r="28" spans="2:16" s="8" customFormat="1" ht="34.9" hidden="1" customHeight="1">
      <c r="B28" s="5" t="s">
        <v>143</v>
      </c>
      <c r="C28" s="7">
        <v>2119.7158519837726</v>
      </c>
      <c r="D28" s="6">
        <v>960.11578510052823</v>
      </c>
      <c r="E28" s="6">
        <v>1516.2704136094121</v>
      </c>
      <c r="F28" s="6">
        <v>57.318788012847058</v>
      </c>
      <c r="G28" s="6">
        <v>5540.8079584620973</v>
      </c>
      <c r="H28" s="6">
        <v>1746.711149231325</v>
      </c>
      <c r="I28" s="6">
        <v>25391.572549058819</v>
      </c>
      <c r="J28" s="6">
        <v>1585.3500820883316</v>
      </c>
      <c r="K28" s="6">
        <v>463.28745939548315</v>
      </c>
      <c r="L28" s="6">
        <v>1069.3326633229626</v>
      </c>
      <c r="M28" s="6">
        <v>1330.9253696473013</v>
      </c>
      <c r="N28" s="6">
        <v>1162.416871274771</v>
      </c>
      <c r="O28" s="7">
        <v>1657.2222955369268</v>
      </c>
      <c r="P28" s="6">
        <v>-8.703046742126114</v>
      </c>
    </row>
    <row r="29" spans="2:16" s="8" customFormat="1" ht="34.9" customHeight="1">
      <c r="B29" s="9">
        <v>2021</v>
      </c>
      <c r="C29" s="11">
        <v>3665.8922577928997</v>
      </c>
      <c r="D29" s="10">
        <v>1069.5628248955732</v>
      </c>
      <c r="E29" s="10">
        <v>1794.7669655109867</v>
      </c>
      <c r="F29" s="10">
        <v>57.318788012847058</v>
      </c>
      <c r="G29" s="10">
        <v>5540.8079584620973</v>
      </c>
      <c r="H29" s="10">
        <v>1896.5373985360586</v>
      </c>
      <c r="I29" s="10">
        <v>14003.836981602137</v>
      </c>
      <c r="J29" s="10">
        <v>3588.9431537577143</v>
      </c>
      <c r="K29" s="10">
        <v>666.77053156075578</v>
      </c>
      <c r="L29" s="10">
        <v>1145.1111755526335</v>
      </c>
      <c r="M29" s="10">
        <v>1289.640362049433</v>
      </c>
      <c r="N29" s="10">
        <v>1162.416871274771</v>
      </c>
      <c r="O29" s="11">
        <v>2118.6494015799271</v>
      </c>
      <c r="P29" s="10">
        <v>27.84340442954888</v>
      </c>
    </row>
    <row r="30" spans="2:16" s="8" customFormat="1" ht="34.9" customHeight="1">
      <c r="B30" s="5">
        <v>2022</v>
      </c>
      <c r="C30" s="7">
        <v>5292.28</v>
      </c>
      <c r="D30" s="6">
        <v>945.46</v>
      </c>
      <c r="E30" s="6">
        <v>1599.48</v>
      </c>
      <c r="F30" s="6">
        <v>57.32</v>
      </c>
      <c r="G30" s="6">
        <v>5540.81</v>
      </c>
      <c r="H30" s="6">
        <v>1512.71</v>
      </c>
      <c r="I30" s="6">
        <v>7424.11</v>
      </c>
      <c r="J30" s="6">
        <v>6068.27</v>
      </c>
      <c r="K30" s="6">
        <v>564.25</v>
      </c>
      <c r="L30" s="6">
        <v>885.83</v>
      </c>
      <c r="M30" s="6">
        <v>1260.2</v>
      </c>
      <c r="N30" s="6">
        <v>1162.42</v>
      </c>
      <c r="O30" s="7">
        <v>2501.6</v>
      </c>
      <c r="P30" s="6">
        <v>18.075222740227687</v>
      </c>
    </row>
    <row r="31" spans="2:16" s="8" customFormat="1" ht="34.9" customHeight="1">
      <c r="B31" s="9">
        <v>2023</v>
      </c>
      <c r="C31" s="11">
        <v>4718.6899999999996</v>
      </c>
      <c r="D31" s="10">
        <v>1037.5999999999999</v>
      </c>
      <c r="E31" s="10">
        <v>1409.08</v>
      </c>
      <c r="F31" s="10">
        <v>57.32</v>
      </c>
      <c r="G31" s="10">
        <v>5540.81</v>
      </c>
      <c r="H31" s="10">
        <v>1464.35</v>
      </c>
      <c r="I31" s="10">
        <v>8136.01</v>
      </c>
      <c r="J31" s="10">
        <v>5154.0200000000004</v>
      </c>
      <c r="K31" s="10">
        <v>658.18</v>
      </c>
      <c r="L31" s="10">
        <v>984.77</v>
      </c>
      <c r="M31" s="10">
        <v>1271.97</v>
      </c>
      <c r="N31" s="10">
        <v>1162.42</v>
      </c>
      <c r="O31" s="11">
        <v>2431.21</v>
      </c>
      <c r="P31" s="10">
        <v>-2.8137991685321344</v>
      </c>
    </row>
    <row r="32" spans="2:16" s="8" customFormat="1" ht="34.9" customHeight="1">
      <c r="B32" s="5">
        <v>2024</v>
      </c>
      <c r="C32" s="7">
        <v>5531.31</v>
      </c>
      <c r="D32" s="6">
        <v>1011.21</v>
      </c>
      <c r="E32" s="6">
        <v>1589.68</v>
      </c>
      <c r="F32" s="6">
        <v>57.32</v>
      </c>
      <c r="G32" s="6">
        <v>5540.81</v>
      </c>
      <c r="H32" s="6">
        <v>1408.69</v>
      </c>
      <c r="I32" s="6">
        <v>1423.8</v>
      </c>
      <c r="J32" s="6">
        <v>6280.7</v>
      </c>
      <c r="K32" s="6">
        <v>896.98</v>
      </c>
      <c r="L32" s="6">
        <v>1422.71</v>
      </c>
      <c r="M32" s="6">
        <v>1189.53</v>
      </c>
      <c r="N32" s="6">
        <v>1162.42</v>
      </c>
      <c r="O32" s="7">
        <v>2488.7600000000002</v>
      </c>
      <c r="P32" s="6">
        <v>2.3671340608174489</v>
      </c>
    </row>
    <row r="33" spans="2:16" s="8" customFormat="1" ht="34.9" customHeight="1">
      <c r="B33" s="9">
        <v>2025</v>
      </c>
      <c r="C33" s="62">
        <v>8872.85</v>
      </c>
      <c r="D33" s="61">
        <v>1060.7</v>
      </c>
      <c r="E33" s="61">
        <v>1831.72</v>
      </c>
      <c r="F33" s="61">
        <v>57.32</v>
      </c>
      <c r="G33" s="61">
        <v>5540.81</v>
      </c>
      <c r="H33" s="61">
        <v>1385.65</v>
      </c>
      <c r="I33" s="61">
        <v>854.28</v>
      </c>
      <c r="J33" s="61">
        <v>11134.79</v>
      </c>
      <c r="K33" s="61">
        <v>927.6</v>
      </c>
      <c r="L33" s="61">
        <v>3115.24</v>
      </c>
      <c r="M33" s="61">
        <v>1690.08</v>
      </c>
      <c r="N33" s="61">
        <v>1162.42</v>
      </c>
      <c r="O33" s="62">
        <v>3611.62</v>
      </c>
      <c r="P33" s="10">
        <v>45.117247143155623</v>
      </c>
    </row>
    <row r="34" spans="2:16" s="8" customFormat="1" ht="34.9" hidden="1" customHeight="1">
      <c r="B34" s="3">
        <v>2006</v>
      </c>
      <c r="C34" s="93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3"/>
      <c r="P34" s="94"/>
    </row>
    <row r="35" spans="2:16" s="8" customFormat="1" ht="34.9" hidden="1" customHeight="1">
      <c r="B35" s="14">
        <v>38899</v>
      </c>
      <c r="C35" s="7">
        <v>2388</v>
      </c>
      <c r="D35" s="6">
        <v>2772.5</v>
      </c>
      <c r="E35" s="6">
        <v>1780.3</v>
      </c>
      <c r="F35" s="6">
        <v>1497.7</v>
      </c>
      <c r="G35" s="6">
        <v>1751.5</v>
      </c>
      <c r="H35" s="6">
        <v>2103.6999999999998</v>
      </c>
      <c r="I35" s="6">
        <v>2729.6</v>
      </c>
      <c r="J35" s="6">
        <v>2485.1999999999998</v>
      </c>
      <c r="K35" s="6">
        <v>2918.2</v>
      </c>
      <c r="L35" s="6">
        <v>7536</v>
      </c>
      <c r="M35" s="6">
        <v>2299</v>
      </c>
      <c r="N35" s="6">
        <v>1439.4</v>
      </c>
      <c r="O35" s="7">
        <v>3218.5</v>
      </c>
      <c r="P35" s="6">
        <v>6.8</v>
      </c>
    </row>
    <row r="36" spans="2:16" s="8" customFormat="1" ht="34.9" hidden="1" customHeight="1">
      <c r="B36" s="15">
        <v>38930</v>
      </c>
      <c r="C36" s="11">
        <v>2468</v>
      </c>
      <c r="D36" s="10">
        <v>2753.9</v>
      </c>
      <c r="E36" s="10">
        <v>1899</v>
      </c>
      <c r="F36" s="10">
        <v>1415.4</v>
      </c>
      <c r="G36" s="10">
        <v>1792.9</v>
      </c>
      <c r="H36" s="10">
        <v>2110</v>
      </c>
      <c r="I36" s="10">
        <v>2774.8</v>
      </c>
      <c r="J36" s="10">
        <v>2624.9</v>
      </c>
      <c r="K36" s="10">
        <v>2902.8</v>
      </c>
      <c r="L36" s="10">
        <v>8095</v>
      </c>
      <c r="M36" s="10">
        <v>2322.8000000000002</v>
      </c>
      <c r="N36" s="10">
        <v>1567.3</v>
      </c>
      <c r="O36" s="11">
        <v>3369.4</v>
      </c>
      <c r="P36" s="10">
        <v>4.7</v>
      </c>
    </row>
    <row r="37" spans="2:16" s="8" customFormat="1" ht="34.9" hidden="1" customHeight="1">
      <c r="B37" s="14">
        <v>38961</v>
      </c>
      <c r="C37" s="7">
        <v>2471.5</v>
      </c>
      <c r="D37" s="6">
        <v>2642.1</v>
      </c>
      <c r="E37" s="6">
        <v>1921.3</v>
      </c>
      <c r="F37" s="6">
        <v>1372.1</v>
      </c>
      <c r="G37" s="6">
        <v>2113.8000000000002</v>
      </c>
      <c r="H37" s="6">
        <v>2136.3000000000002</v>
      </c>
      <c r="I37" s="6">
        <v>2967.9</v>
      </c>
      <c r="J37" s="6">
        <v>2640.7</v>
      </c>
      <c r="K37" s="6">
        <v>3175.1</v>
      </c>
      <c r="L37" s="6">
        <v>7815.1</v>
      </c>
      <c r="M37" s="6">
        <v>2200.1999999999998</v>
      </c>
      <c r="N37" s="6">
        <v>1625.4</v>
      </c>
      <c r="O37" s="7">
        <v>3279.4</v>
      </c>
      <c r="P37" s="6">
        <v>-2.7</v>
      </c>
    </row>
    <row r="38" spans="2:16" s="8" customFormat="1" ht="34.9" hidden="1" customHeight="1">
      <c r="B38" s="15">
        <v>38991</v>
      </c>
      <c r="C38" s="11">
        <v>2423.3000000000002</v>
      </c>
      <c r="D38" s="10">
        <v>2618.9</v>
      </c>
      <c r="E38" s="10">
        <v>2007.9</v>
      </c>
      <c r="F38" s="10">
        <v>1330.4</v>
      </c>
      <c r="G38" s="10">
        <v>2232.9</v>
      </c>
      <c r="H38" s="10">
        <v>2102.5</v>
      </c>
      <c r="I38" s="10">
        <v>2768.7</v>
      </c>
      <c r="J38" s="10">
        <v>2583.5</v>
      </c>
      <c r="K38" s="10">
        <v>2999.3</v>
      </c>
      <c r="L38" s="10">
        <v>7742.6</v>
      </c>
      <c r="M38" s="10">
        <v>2211.1999999999998</v>
      </c>
      <c r="N38" s="10">
        <v>1411.2</v>
      </c>
      <c r="O38" s="11">
        <v>3305.6</v>
      </c>
      <c r="P38" s="10">
        <v>0.8</v>
      </c>
    </row>
    <row r="39" spans="2:16" s="8" customFormat="1" ht="34.9" hidden="1" customHeight="1">
      <c r="B39" s="14">
        <v>39022</v>
      </c>
      <c r="C39" s="7">
        <v>2338.5</v>
      </c>
      <c r="D39" s="6">
        <v>2513.5</v>
      </c>
      <c r="E39" s="6">
        <v>1820.2</v>
      </c>
      <c r="F39" s="6">
        <v>1292.2</v>
      </c>
      <c r="G39" s="6">
        <v>2069.1999999999998</v>
      </c>
      <c r="H39" s="6">
        <v>2135.9</v>
      </c>
      <c r="I39" s="6">
        <v>2560.8000000000002</v>
      </c>
      <c r="J39" s="6">
        <v>2512.8000000000002</v>
      </c>
      <c r="K39" s="6">
        <v>2881.3</v>
      </c>
      <c r="L39" s="6">
        <v>7841.1</v>
      </c>
      <c r="M39" s="6">
        <v>1968.4</v>
      </c>
      <c r="N39" s="6">
        <v>1337.4</v>
      </c>
      <c r="O39" s="7">
        <v>3044.4</v>
      </c>
      <c r="P39" s="6">
        <v>-7.9</v>
      </c>
    </row>
    <row r="40" spans="2:16" s="8" customFormat="1" ht="34.9" hidden="1" customHeight="1">
      <c r="B40" s="15">
        <v>39052</v>
      </c>
      <c r="C40" s="11">
        <v>2372.3000000000002</v>
      </c>
      <c r="D40" s="10">
        <v>2609.1999999999998</v>
      </c>
      <c r="E40" s="10">
        <v>1727.8</v>
      </c>
      <c r="F40" s="10">
        <v>1283.5999999999999</v>
      </c>
      <c r="G40" s="10">
        <v>2026</v>
      </c>
      <c r="H40" s="10">
        <v>2103.5</v>
      </c>
      <c r="I40" s="10">
        <v>2566</v>
      </c>
      <c r="J40" s="10">
        <v>2535.6999999999998</v>
      </c>
      <c r="K40" s="10">
        <v>3139.9</v>
      </c>
      <c r="L40" s="10">
        <v>7794.8</v>
      </c>
      <c r="M40" s="10">
        <v>2078.1</v>
      </c>
      <c r="N40" s="10">
        <v>1181.3</v>
      </c>
      <c r="O40" s="11">
        <v>3013.7</v>
      </c>
      <c r="P40" s="10">
        <v>-1</v>
      </c>
    </row>
    <row r="41" spans="2:16" s="8" customFormat="1" ht="34.9" hidden="1" customHeight="1">
      <c r="B41" s="3">
        <v>2007</v>
      </c>
      <c r="C41" s="93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3"/>
      <c r="P41" s="94"/>
    </row>
    <row r="42" spans="2:16" s="8" customFormat="1" ht="34.9" hidden="1" customHeight="1">
      <c r="B42" s="14">
        <v>39083</v>
      </c>
      <c r="C42" s="7">
        <v>2510.3000000000002</v>
      </c>
      <c r="D42" s="6">
        <v>2718.5</v>
      </c>
      <c r="E42" s="6">
        <v>1948.8</v>
      </c>
      <c r="F42" s="6">
        <v>1254.4000000000001</v>
      </c>
      <c r="G42" s="6">
        <v>2358.1999999999998</v>
      </c>
      <c r="H42" s="6">
        <v>2230.5</v>
      </c>
      <c r="I42" s="6">
        <v>2526</v>
      </c>
      <c r="J42" s="6">
        <v>2704.5</v>
      </c>
      <c r="K42" s="6">
        <v>3181.2</v>
      </c>
      <c r="L42" s="6">
        <v>8544.2000000000007</v>
      </c>
      <c r="M42" s="6">
        <v>2190.8000000000002</v>
      </c>
      <c r="N42" s="6">
        <v>1270.8</v>
      </c>
      <c r="O42" s="7">
        <v>3256.2</v>
      </c>
      <c r="P42" s="6">
        <f>O42/O40*100-100</f>
        <v>8.0465872515512444</v>
      </c>
    </row>
    <row r="43" spans="2:16" s="8" customFormat="1" ht="34.9" hidden="1" customHeight="1">
      <c r="B43" s="15">
        <v>39114</v>
      </c>
      <c r="C43" s="11">
        <v>2620.5</v>
      </c>
      <c r="D43" s="10">
        <v>2872.2</v>
      </c>
      <c r="E43" s="10">
        <v>1851.3</v>
      </c>
      <c r="F43" s="10">
        <v>1290.7</v>
      </c>
      <c r="G43" s="10">
        <v>2283.8000000000002</v>
      </c>
      <c r="H43" s="10">
        <v>2212.8000000000002</v>
      </c>
      <c r="I43" s="10">
        <v>2733</v>
      </c>
      <c r="J43" s="10">
        <v>2879.3</v>
      </c>
      <c r="K43" s="10">
        <v>3314.8</v>
      </c>
      <c r="L43" s="10">
        <v>8536.4</v>
      </c>
      <c r="M43" s="10">
        <v>2308.6</v>
      </c>
      <c r="N43" s="10">
        <v>1201.4000000000001</v>
      </c>
      <c r="O43" s="11">
        <v>3408.5</v>
      </c>
      <c r="P43" s="10">
        <f>O43/O42*100-100</f>
        <v>4.6772311283090744</v>
      </c>
    </row>
    <row r="44" spans="2:16" s="8" customFormat="1" ht="34.9" hidden="1" customHeight="1">
      <c r="B44" s="14">
        <v>39142</v>
      </c>
      <c r="C44" s="7">
        <v>2557</v>
      </c>
      <c r="D44" s="6">
        <v>2686.2</v>
      </c>
      <c r="E44" s="6">
        <v>1871.7</v>
      </c>
      <c r="F44" s="6">
        <v>1321.6</v>
      </c>
      <c r="G44" s="6">
        <v>2203.9</v>
      </c>
      <c r="H44" s="6">
        <v>2105.9</v>
      </c>
      <c r="I44" s="6">
        <v>2733</v>
      </c>
      <c r="J44" s="6">
        <v>2830</v>
      </c>
      <c r="K44" s="6">
        <v>2830</v>
      </c>
      <c r="L44" s="6">
        <v>8545.2000000000007</v>
      </c>
      <c r="M44" s="6">
        <v>2225</v>
      </c>
      <c r="N44" s="6">
        <v>1168.3</v>
      </c>
      <c r="O44" s="7">
        <v>3247</v>
      </c>
      <c r="P44" s="6">
        <f>O44/O43*100-100</f>
        <v>-4.7381546134663353</v>
      </c>
    </row>
    <row r="45" spans="2:16" s="8" customFormat="1" ht="34.9" hidden="1" customHeight="1">
      <c r="B45" s="15">
        <v>39173</v>
      </c>
      <c r="C45" s="11">
        <v>2511.4</v>
      </c>
      <c r="D45" s="10">
        <v>2594.9</v>
      </c>
      <c r="E45" s="10">
        <v>1840.1</v>
      </c>
      <c r="F45" s="10">
        <v>1232.2</v>
      </c>
      <c r="G45" s="10">
        <v>2218.4</v>
      </c>
      <c r="H45" s="10">
        <v>2035.6</v>
      </c>
      <c r="I45" s="10">
        <v>2583.4</v>
      </c>
      <c r="J45" s="10">
        <v>2796.1</v>
      </c>
      <c r="K45" s="10">
        <v>3099.4</v>
      </c>
      <c r="L45" s="10">
        <v>8642.2000000000007</v>
      </c>
      <c r="M45" s="10">
        <v>2215.6999999999998</v>
      </c>
      <c r="N45" s="10">
        <v>1135.2</v>
      </c>
      <c r="O45" s="11">
        <v>3155.8</v>
      </c>
      <c r="P45" s="10">
        <f>O45/O44*100-100</f>
        <v>-2.8087465352633245</v>
      </c>
    </row>
    <row r="46" spans="2:16" s="8" customFormat="1" ht="34.9" hidden="1" customHeight="1">
      <c r="B46" s="14">
        <v>39203</v>
      </c>
      <c r="C46" s="7">
        <v>2484.6999999999998</v>
      </c>
      <c r="D46" s="6">
        <v>2525.3000000000002</v>
      </c>
      <c r="E46" s="6">
        <v>1752.9</v>
      </c>
      <c r="F46" s="6">
        <v>1227.5</v>
      </c>
      <c r="G46" s="6">
        <v>2117.5</v>
      </c>
      <c r="H46" s="6">
        <v>2147.8000000000002</v>
      </c>
      <c r="I46" s="6">
        <v>2407.6999999999998</v>
      </c>
      <c r="J46" s="6">
        <v>2741.7</v>
      </c>
      <c r="K46" s="6">
        <v>3250.4</v>
      </c>
      <c r="L46" s="6">
        <v>8829.4</v>
      </c>
      <c r="M46" s="6">
        <v>2194.6</v>
      </c>
      <c r="N46" s="6">
        <v>1454.1</v>
      </c>
      <c r="O46" s="7">
        <v>3133</v>
      </c>
      <c r="P46" s="6">
        <f t="shared" ref="P46:P49" si="0">O46/O45*100-100</f>
        <v>-0.72247924456556234</v>
      </c>
    </row>
    <row r="47" spans="2:16" s="8" customFormat="1" ht="34.9" hidden="1" customHeight="1">
      <c r="B47" s="15">
        <v>39234</v>
      </c>
      <c r="C47" s="11">
        <v>2539.4</v>
      </c>
      <c r="D47" s="10">
        <v>2631.3</v>
      </c>
      <c r="E47" s="10">
        <v>1846.3</v>
      </c>
      <c r="F47" s="10">
        <v>1222.0999999999999</v>
      </c>
      <c r="G47" s="10">
        <v>2089.9</v>
      </c>
      <c r="H47" s="10">
        <v>2186.8000000000002</v>
      </c>
      <c r="I47" s="10">
        <v>2376.4</v>
      </c>
      <c r="J47" s="10">
        <v>2846.1</v>
      </c>
      <c r="K47" s="10">
        <v>3249.2</v>
      </c>
      <c r="L47" s="10">
        <v>8795.6</v>
      </c>
      <c r="M47" s="10">
        <v>2133.9</v>
      </c>
      <c r="N47" s="10">
        <v>1270.3</v>
      </c>
      <c r="O47" s="11">
        <v>3172.8</v>
      </c>
      <c r="P47" s="10">
        <f t="shared" si="0"/>
        <v>1.2703479093520542</v>
      </c>
    </row>
    <row r="48" spans="2:16" s="8" customFormat="1" ht="34.9" hidden="1" customHeight="1">
      <c r="B48" s="14">
        <v>39264</v>
      </c>
      <c r="C48" s="7">
        <v>2516.9</v>
      </c>
      <c r="D48" s="6">
        <v>2525.6</v>
      </c>
      <c r="E48" s="6">
        <v>1855.6</v>
      </c>
      <c r="F48" s="6">
        <v>1224.8</v>
      </c>
      <c r="G48" s="6">
        <v>2237.6999999999998</v>
      </c>
      <c r="H48" s="6">
        <v>2285</v>
      </c>
      <c r="I48" s="6">
        <v>2366.8000000000002</v>
      </c>
      <c r="J48" s="6">
        <v>2820.4</v>
      </c>
      <c r="K48" s="6">
        <v>3328.1</v>
      </c>
      <c r="L48" s="6">
        <v>8723.9</v>
      </c>
      <c r="M48" s="6">
        <v>2112.9</v>
      </c>
      <c r="N48" s="6">
        <v>1209</v>
      </c>
      <c r="O48" s="7">
        <v>3100.2</v>
      </c>
      <c r="P48" s="6">
        <f t="shared" si="0"/>
        <v>-2.2881996974281549</v>
      </c>
    </row>
    <row r="49" spans="2:16" s="8" customFormat="1" ht="34.9" hidden="1" customHeight="1">
      <c r="B49" s="15">
        <v>39295</v>
      </c>
      <c r="C49" s="11">
        <v>2449.1999999999998</v>
      </c>
      <c r="D49" s="10">
        <v>2395.8000000000002</v>
      </c>
      <c r="E49" s="10">
        <v>1679</v>
      </c>
      <c r="F49" s="10">
        <v>1272.5</v>
      </c>
      <c r="G49" s="10">
        <v>2149.4</v>
      </c>
      <c r="H49" s="10">
        <v>2237.4</v>
      </c>
      <c r="I49" s="10">
        <v>2248.5</v>
      </c>
      <c r="J49" s="10">
        <v>2763.4</v>
      </c>
      <c r="K49" s="10">
        <v>3201.8</v>
      </c>
      <c r="L49" s="10">
        <v>8885.7000000000007</v>
      </c>
      <c r="M49" s="10">
        <v>2074.4</v>
      </c>
      <c r="N49" s="10">
        <v>1116.9000000000001</v>
      </c>
      <c r="O49" s="11">
        <v>3022.1</v>
      </c>
      <c r="P49" s="10">
        <f t="shared" si="0"/>
        <v>-2.519192310173537</v>
      </c>
    </row>
    <row r="50" spans="2:16" s="8" customFormat="1" ht="34.9" hidden="1" customHeight="1">
      <c r="B50" s="14">
        <v>39326</v>
      </c>
      <c r="C50" s="7">
        <v>2507.1999999999998</v>
      </c>
      <c r="D50" s="6">
        <v>2338.6</v>
      </c>
      <c r="E50" s="6">
        <v>1753.9</v>
      </c>
      <c r="F50" s="6">
        <v>1248.2</v>
      </c>
      <c r="G50" s="6">
        <v>2042.3</v>
      </c>
      <c r="H50" s="6">
        <v>2181.1999999999998</v>
      </c>
      <c r="I50" s="6">
        <v>2255.5</v>
      </c>
      <c r="J50" s="6">
        <v>2868.9</v>
      </c>
      <c r="K50" s="6">
        <v>3372.9</v>
      </c>
      <c r="L50" s="6">
        <v>9196.1</v>
      </c>
      <c r="M50" s="6">
        <v>2132.1999999999998</v>
      </c>
      <c r="N50" s="6">
        <v>1180.4000000000001</v>
      </c>
      <c r="O50" s="7">
        <v>3108.2</v>
      </c>
      <c r="P50" s="6">
        <f>O50/O49*100-100</f>
        <v>2.8490122762317611</v>
      </c>
    </row>
    <row r="51" spans="2:16" s="8" customFormat="1" ht="34.9" hidden="1" customHeight="1">
      <c r="B51" s="15">
        <v>39356</v>
      </c>
      <c r="C51" s="11">
        <v>2779.7</v>
      </c>
      <c r="D51" s="10">
        <v>2447.9</v>
      </c>
      <c r="E51" s="10">
        <v>2076.6999999999998</v>
      </c>
      <c r="F51" s="10">
        <v>1241.5999999999999</v>
      </c>
      <c r="G51" s="10">
        <v>2605.1</v>
      </c>
      <c r="H51" s="10">
        <v>2241.3000000000002</v>
      </c>
      <c r="I51" s="10">
        <v>2466.9</v>
      </c>
      <c r="J51" s="10">
        <v>3348.6</v>
      </c>
      <c r="K51" s="10">
        <v>3424.8</v>
      </c>
      <c r="L51" s="10">
        <v>9724.4</v>
      </c>
      <c r="M51" s="10">
        <v>2295.5</v>
      </c>
      <c r="N51" s="10">
        <v>1346.3</v>
      </c>
      <c r="O51" s="11">
        <v>3447.9</v>
      </c>
      <c r="P51" s="10">
        <f>O51/O50*100-100</f>
        <v>10.929155138022011</v>
      </c>
    </row>
    <row r="52" spans="2:16" s="8" customFormat="1" ht="34.9" hidden="1" customHeight="1">
      <c r="B52" s="14">
        <v>39387</v>
      </c>
      <c r="C52" s="7">
        <v>2724.2</v>
      </c>
      <c r="D52" s="6">
        <v>2342.1999999999998</v>
      </c>
      <c r="E52" s="6">
        <v>2021.1</v>
      </c>
      <c r="F52" s="6">
        <v>1189.8</v>
      </c>
      <c r="G52" s="6">
        <v>2494</v>
      </c>
      <c r="H52" s="6">
        <v>2171.1</v>
      </c>
      <c r="I52" s="6">
        <v>2367.6999999999998</v>
      </c>
      <c r="J52" s="6">
        <v>3368.3</v>
      </c>
      <c r="K52" s="6">
        <v>3393.4</v>
      </c>
      <c r="L52" s="6">
        <v>8639.9</v>
      </c>
      <c r="M52" s="6">
        <v>2501.9</v>
      </c>
      <c r="N52" s="6">
        <v>1287.2</v>
      </c>
      <c r="O52" s="7">
        <v>3443.8</v>
      </c>
      <c r="P52" s="6">
        <f>O52/O51*100-100</f>
        <v>-0.11891296151280528</v>
      </c>
    </row>
    <row r="53" spans="2:16" s="8" customFormat="1" ht="34.9" hidden="1" customHeight="1">
      <c r="B53" s="15">
        <v>39417</v>
      </c>
      <c r="C53" s="11">
        <v>3097.7</v>
      </c>
      <c r="D53" s="10">
        <v>2374.6</v>
      </c>
      <c r="E53" s="10">
        <v>1952.8</v>
      </c>
      <c r="F53" s="10">
        <v>1262.8</v>
      </c>
      <c r="G53" s="10">
        <v>2487.1</v>
      </c>
      <c r="H53" s="10">
        <v>2146.8000000000002</v>
      </c>
      <c r="I53" s="10">
        <v>2487.8000000000002</v>
      </c>
      <c r="J53" s="10">
        <v>4311.8</v>
      </c>
      <c r="K53" s="10">
        <v>3362.1</v>
      </c>
      <c r="L53" s="10">
        <v>8864.7999999999993</v>
      </c>
      <c r="M53" s="10">
        <v>2554.6999999999998</v>
      </c>
      <c r="N53" s="10">
        <v>1467.4</v>
      </c>
      <c r="O53" s="11">
        <v>3675</v>
      </c>
      <c r="P53" s="10">
        <f>O53/O52*100-100</f>
        <v>6.7135141413554749</v>
      </c>
    </row>
    <row r="54" spans="2:16" s="8" customFormat="1" ht="34.9" hidden="1" customHeight="1">
      <c r="B54" s="3">
        <v>2008</v>
      </c>
      <c r="C54" s="93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3"/>
      <c r="P54" s="94"/>
    </row>
    <row r="55" spans="2:16" s="8" customFormat="1" ht="34.9" hidden="1" customHeight="1">
      <c r="B55" s="14">
        <v>39448</v>
      </c>
      <c r="C55" s="7">
        <v>3197.9</v>
      </c>
      <c r="D55" s="6">
        <v>2395.8000000000002</v>
      </c>
      <c r="E55" s="6">
        <v>1943.4</v>
      </c>
      <c r="F55" s="6">
        <v>1288.2</v>
      </c>
      <c r="G55" s="6">
        <v>2425.5</v>
      </c>
      <c r="H55" s="6">
        <v>2234.6</v>
      </c>
      <c r="I55" s="6">
        <v>2378.1</v>
      </c>
      <c r="J55" s="6">
        <v>4546.6000000000004</v>
      </c>
      <c r="K55" s="6">
        <v>3255.8</v>
      </c>
      <c r="L55" s="6">
        <v>9063.7999999999993</v>
      </c>
      <c r="M55" s="6">
        <v>2766.1</v>
      </c>
      <c r="N55" s="6">
        <v>1418.7</v>
      </c>
      <c r="O55" s="7">
        <v>3835</v>
      </c>
      <c r="P55" s="6">
        <f>O55/O53*100-100</f>
        <v>4.3537414965986443</v>
      </c>
    </row>
    <row r="56" spans="2:16" s="8" customFormat="1" ht="34.9" hidden="1" customHeight="1">
      <c r="B56" s="15">
        <v>39479</v>
      </c>
      <c r="C56" s="11">
        <v>3673</v>
      </c>
      <c r="D56" s="10">
        <v>2479.1999999999998</v>
      </c>
      <c r="E56" s="10">
        <v>1915.7</v>
      </c>
      <c r="F56" s="10">
        <v>1303.5999999999999</v>
      </c>
      <c r="G56" s="10">
        <v>2498.1</v>
      </c>
      <c r="H56" s="10">
        <v>2497.8000000000002</v>
      </c>
      <c r="I56" s="10">
        <v>2268.6999999999998</v>
      </c>
      <c r="J56" s="10">
        <v>5778.9</v>
      </c>
      <c r="K56" s="10">
        <v>3342.1</v>
      </c>
      <c r="L56" s="10">
        <v>9257.2000000000007</v>
      </c>
      <c r="M56" s="10">
        <v>2729.4</v>
      </c>
      <c r="N56" s="10">
        <v>1301.5999999999999</v>
      </c>
      <c r="O56" s="11">
        <v>3987.9</v>
      </c>
      <c r="P56" s="10">
        <f>O56/O55*100-100</f>
        <v>3.9869621903520169</v>
      </c>
    </row>
    <row r="57" spans="2:16" s="8" customFormat="1" ht="34.9" hidden="1" customHeight="1">
      <c r="B57" s="14">
        <v>39508</v>
      </c>
      <c r="C57" s="7">
        <v>3842.6</v>
      </c>
      <c r="D57" s="6">
        <v>2384.1999999999998</v>
      </c>
      <c r="E57" s="6">
        <v>1836.5</v>
      </c>
      <c r="F57" s="6">
        <v>1256.4000000000001</v>
      </c>
      <c r="G57" s="6">
        <v>2201.1999999999998</v>
      </c>
      <c r="H57" s="6">
        <v>2300.1</v>
      </c>
      <c r="I57" s="6">
        <v>1995.2</v>
      </c>
      <c r="J57" s="6">
        <v>6423.2</v>
      </c>
      <c r="K57" s="6">
        <v>3301.3</v>
      </c>
      <c r="L57" s="6">
        <v>8799.2999999999993</v>
      </c>
      <c r="M57" s="6">
        <v>2708.7</v>
      </c>
      <c r="N57" s="6">
        <v>1206.0999999999999</v>
      </c>
      <c r="O57" s="7">
        <v>3925.6</v>
      </c>
      <c r="P57" s="6">
        <f>O57/O56*100-100</f>
        <v>-1.5622257328418527</v>
      </c>
    </row>
    <row r="58" spans="2:16" s="8" customFormat="1" ht="34.9" hidden="1" customHeight="1">
      <c r="B58" s="15">
        <v>39539</v>
      </c>
      <c r="C58" s="11">
        <v>4341.1000000000004</v>
      </c>
      <c r="D58" s="10">
        <v>2397.9</v>
      </c>
      <c r="E58" s="10">
        <v>1781.6</v>
      </c>
      <c r="F58" s="10">
        <v>1267.8</v>
      </c>
      <c r="G58" s="10">
        <v>2056.1999999999998</v>
      </c>
      <c r="H58" s="10">
        <v>2331.4</v>
      </c>
      <c r="I58" s="10">
        <v>1915.2</v>
      </c>
      <c r="J58" s="10">
        <v>7839.9</v>
      </c>
      <c r="K58" s="10">
        <v>3229.3</v>
      </c>
      <c r="L58" s="10">
        <v>8493.9</v>
      </c>
      <c r="M58" s="10">
        <v>2612.1999999999998</v>
      </c>
      <c r="N58" s="10">
        <v>1168.7</v>
      </c>
      <c r="O58" s="11">
        <v>4145.7</v>
      </c>
      <c r="P58" s="10">
        <f>O58/O57*100-100</f>
        <v>5.6067862237619579</v>
      </c>
    </row>
    <row r="59" spans="2:16" s="8" customFormat="1" ht="34.9" hidden="1" customHeight="1">
      <c r="B59" s="14">
        <v>39569</v>
      </c>
      <c r="C59" s="7">
        <v>4747.8500000000004</v>
      </c>
      <c r="D59" s="6">
        <v>2458.65</v>
      </c>
      <c r="E59" s="6">
        <v>1833.19</v>
      </c>
      <c r="F59" s="6">
        <v>1282.45</v>
      </c>
      <c r="G59" s="6">
        <v>2061.4</v>
      </c>
      <c r="H59" s="6">
        <v>2556.8200000000002</v>
      </c>
      <c r="I59" s="6">
        <v>2081.1999999999998</v>
      </c>
      <c r="J59" s="6">
        <v>8701.66</v>
      </c>
      <c r="K59" s="6">
        <v>3479.39</v>
      </c>
      <c r="L59" s="6">
        <v>9388.7900000000009</v>
      </c>
      <c r="M59" s="6">
        <v>2670.12</v>
      </c>
      <c r="N59" s="6">
        <v>1223.77</v>
      </c>
      <c r="O59" s="7">
        <v>4363.79</v>
      </c>
      <c r="P59" s="6">
        <f t="shared" ref="P59:P62" si="1">O59/O58*100-100</f>
        <v>5.2606314976964228</v>
      </c>
    </row>
    <row r="60" spans="2:16" s="8" customFormat="1" ht="34.9" hidden="1" customHeight="1">
      <c r="B60" s="15">
        <v>39600</v>
      </c>
      <c r="C60" s="11">
        <v>5660</v>
      </c>
      <c r="D60" s="10">
        <v>2341.3000000000002</v>
      </c>
      <c r="E60" s="10">
        <v>2027.3</v>
      </c>
      <c r="F60" s="10">
        <v>1264.0999999999999</v>
      </c>
      <c r="G60" s="10">
        <v>2007.9</v>
      </c>
      <c r="H60" s="10">
        <v>2595.6999999999998</v>
      </c>
      <c r="I60" s="10">
        <v>2101.3000000000002</v>
      </c>
      <c r="J60" s="10">
        <v>10989.5</v>
      </c>
      <c r="K60" s="10">
        <v>3791</v>
      </c>
      <c r="L60" s="10">
        <v>10286.1</v>
      </c>
      <c r="M60" s="10">
        <v>2726.6</v>
      </c>
      <c r="N60" s="10">
        <v>1362.1</v>
      </c>
      <c r="O60" s="11">
        <v>4772.3</v>
      </c>
      <c r="P60" s="10">
        <f t="shared" si="1"/>
        <v>9.3613579021905196</v>
      </c>
    </row>
    <row r="61" spans="2:16" s="8" customFormat="1" ht="34.9" hidden="1" customHeight="1">
      <c r="B61" s="14">
        <v>39630</v>
      </c>
      <c r="C61" s="7">
        <v>5406.9</v>
      </c>
      <c r="D61" s="6">
        <v>2305.9</v>
      </c>
      <c r="E61" s="6">
        <v>2423.5</v>
      </c>
      <c r="F61" s="6">
        <v>1245.3</v>
      </c>
      <c r="G61" s="6">
        <v>1925.6</v>
      </c>
      <c r="H61" s="6">
        <v>2578.9</v>
      </c>
      <c r="I61" s="6">
        <v>1925.3</v>
      </c>
      <c r="J61" s="6">
        <v>10374.6</v>
      </c>
      <c r="K61" s="6">
        <v>3529.7</v>
      </c>
      <c r="L61" s="6">
        <v>9906.2999999999993</v>
      </c>
      <c r="M61" s="6">
        <v>2636.8</v>
      </c>
      <c r="N61" s="6">
        <v>1419.3</v>
      </c>
      <c r="O61" s="7">
        <v>4629.5</v>
      </c>
      <c r="P61" s="6">
        <f t="shared" si="1"/>
        <v>-2.9922678792196677</v>
      </c>
    </row>
    <row r="62" spans="2:16" s="8" customFormat="1" ht="34.9" hidden="1" customHeight="1">
      <c r="B62" s="15">
        <v>39661</v>
      </c>
      <c r="C62" s="11">
        <v>4735.55</v>
      </c>
      <c r="D62" s="10">
        <v>2257.37</v>
      </c>
      <c r="E62" s="10">
        <v>2369.12</v>
      </c>
      <c r="F62" s="10">
        <v>1176.55</v>
      </c>
      <c r="G62" s="10">
        <v>1812.04</v>
      </c>
      <c r="H62" s="10">
        <v>2490.29</v>
      </c>
      <c r="I62" s="10">
        <v>1870.08</v>
      </c>
      <c r="J62" s="10">
        <v>8677.82</v>
      </c>
      <c r="K62" s="10">
        <v>3286.98</v>
      </c>
      <c r="L62" s="10">
        <v>9828.27</v>
      </c>
      <c r="M62" s="10">
        <v>2485.69</v>
      </c>
      <c r="N62" s="10">
        <v>1437.23</v>
      </c>
      <c r="O62" s="11">
        <v>4370.72</v>
      </c>
      <c r="P62" s="10">
        <f t="shared" si="1"/>
        <v>-5.5898045145263922</v>
      </c>
    </row>
    <row r="63" spans="2:16" s="8" customFormat="1" ht="34.9" hidden="1" customHeight="1">
      <c r="B63" s="14">
        <v>39692</v>
      </c>
      <c r="C63" s="7">
        <v>4423.8500000000004</v>
      </c>
      <c r="D63" s="6">
        <v>2167.35</v>
      </c>
      <c r="E63" s="6">
        <v>2078.54</v>
      </c>
      <c r="F63" s="6">
        <v>1068.17</v>
      </c>
      <c r="G63" s="6">
        <v>1819.44</v>
      </c>
      <c r="H63" s="6">
        <v>2509.6999999999998</v>
      </c>
      <c r="I63" s="6">
        <v>1970.35</v>
      </c>
      <c r="J63" s="6">
        <v>7842.85</v>
      </c>
      <c r="K63" s="6">
        <v>3364.53</v>
      </c>
      <c r="L63" s="6">
        <v>9246.07</v>
      </c>
      <c r="M63" s="6">
        <v>2466.71</v>
      </c>
      <c r="N63" s="6">
        <v>1443.41</v>
      </c>
      <c r="O63" s="7">
        <v>4073.81</v>
      </c>
      <c r="P63" s="6">
        <f>O63/O62*100-100</f>
        <v>-6.7931599370355542</v>
      </c>
    </row>
    <row r="64" spans="2:16" s="8" customFormat="1" ht="34.9" hidden="1" customHeight="1">
      <c r="B64" s="15">
        <v>39722</v>
      </c>
      <c r="C64" s="11">
        <v>2917.39</v>
      </c>
      <c r="D64" s="10">
        <v>1987.41</v>
      </c>
      <c r="E64" s="10">
        <v>1689.32</v>
      </c>
      <c r="F64" s="10">
        <v>934.8</v>
      </c>
      <c r="G64" s="10">
        <v>1599.71</v>
      </c>
      <c r="H64" s="10">
        <v>2478.92</v>
      </c>
      <c r="I64" s="10">
        <v>1798.73</v>
      </c>
      <c r="J64" s="10">
        <v>4615.95</v>
      </c>
      <c r="K64" s="10">
        <v>2949.17</v>
      </c>
      <c r="L64" s="10">
        <v>7300.76</v>
      </c>
      <c r="M64" s="10">
        <v>2104</v>
      </c>
      <c r="N64" s="10">
        <v>1098.18</v>
      </c>
      <c r="O64" s="11">
        <v>3172.14</v>
      </c>
      <c r="P64" s="10">
        <f>O64/O63*100-100</f>
        <v>-22.133334642509112</v>
      </c>
    </row>
    <row r="65" spans="2:16" s="8" customFormat="1" ht="34.9" hidden="1" customHeight="1">
      <c r="B65" s="14">
        <v>39753</v>
      </c>
      <c r="C65" s="7">
        <v>2606</v>
      </c>
      <c r="D65" s="6">
        <v>1820.2</v>
      </c>
      <c r="E65" s="6">
        <v>1561.2</v>
      </c>
      <c r="F65" s="6">
        <v>847.8</v>
      </c>
      <c r="G65" s="6">
        <v>1539.5</v>
      </c>
      <c r="H65" s="6">
        <v>2355.4</v>
      </c>
      <c r="I65" s="6">
        <v>1575.4</v>
      </c>
      <c r="J65" s="6">
        <v>4079.8</v>
      </c>
      <c r="K65" s="6">
        <v>2789.8</v>
      </c>
      <c r="L65" s="6">
        <v>6573.3</v>
      </c>
      <c r="M65" s="6">
        <v>1831.2</v>
      </c>
      <c r="N65" s="6">
        <v>1050.0999999999999</v>
      </c>
      <c r="O65" s="7">
        <v>2767.2</v>
      </c>
      <c r="P65" s="6">
        <f>O65/O64*100-100</f>
        <v>-12.765514762904544</v>
      </c>
    </row>
    <row r="66" spans="2:16" s="8" customFormat="1" ht="34.9" hidden="1" customHeight="1">
      <c r="B66" s="15">
        <v>39783</v>
      </c>
      <c r="C66" s="11">
        <v>2736</v>
      </c>
      <c r="D66" s="10">
        <v>1914.1</v>
      </c>
      <c r="E66" s="10">
        <v>1464.1</v>
      </c>
      <c r="F66" s="10">
        <v>803.6</v>
      </c>
      <c r="G66" s="10">
        <v>1539.6</v>
      </c>
      <c r="H66" s="10">
        <v>2308.4</v>
      </c>
      <c r="I66" s="10">
        <v>1608.3</v>
      </c>
      <c r="J66" s="10">
        <v>4380</v>
      </c>
      <c r="K66" s="10">
        <v>2915.7</v>
      </c>
      <c r="L66" s="10">
        <v>5883.8</v>
      </c>
      <c r="M66" s="10">
        <v>2050.1999999999998</v>
      </c>
      <c r="N66" s="10">
        <v>1050.0999999999999</v>
      </c>
      <c r="O66" s="11">
        <v>2758.4</v>
      </c>
      <c r="P66" s="10">
        <f>O66/O65*100-100</f>
        <v>-0.31801098583405008</v>
      </c>
    </row>
    <row r="67" spans="2:16" s="8" customFormat="1" ht="34.9" hidden="1" customHeight="1">
      <c r="B67" s="3">
        <v>2009</v>
      </c>
      <c r="C67" s="93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3"/>
      <c r="P67" s="94"/>
    </row>
    <row r="68" spans="2:16" s="8" customFormat="1" ht="34.9" hidden="1" customHeight="1">
      <c r="B68" s="14">
        <v>39814</v>
      </c>
      <c r="C68" s="7">
        <v>2746.1</v>
      </c>
      <c r="D68" s="6">
        <v>1843</v>
      </c>
      <c r="E68" s="6">
        <v>1546.9</v>
      </c>
      <c r="F68" s="6">
        <v>908.9</v>
      </c>
      <c r="G68" s="6">
        <v>1554.8</v>
      </c>
      <c r="H68" s="6">
        <v>2209.1</v>
      </c>
      <c r="I68" s="6">
        <v>1658.6</v>
      </c>
      <c r="J68" s="6">
        <v>4526.6000000000004</v>
      </c>
      <c r="K68" s="6">
        <v>2768.1</v>
      </c>
      <c r="L68" s="6">
        <v>5061</v>
      </c>
      <c r="M68" s="6">
        <v>2160</v>
      </c>
      <c r="N68" s="6">
        <v>991</v>
      </c>
      <c r="O68" s="7">
        <v>2704</v>
      </c>
      <c r="P68" s="6">
        <f>O68/O66*100-100</f>
        <v>-1.9721577726218129</v>
      </c>
    </row>
    <row r="69" spans="2:16" s="8" customFormat="1" ht="34.9" hidden="1" customHeight="1">
      <c r="B69" s="15">
        <v>39845</v>
      </c>
      <c r="C69" s="11">
        <v>2629.38</v>
      </c>
      <c r="D69" s="10">
        <v>1848.31</v>
      </c>
      <c r="E69" s="10">
        <v>1488.96</v>
      </c>
      <c r="F69" s="10">
        <v>1008.43</v>
      </c>
      <c r="G69" s="10">
        <v>1473.89</v>
      </c>
      <c r="H69" s="10">
        <v>2053.08</v>
      </c>
      <c r="I69" s="10">
        <v>1460.03</v>
      </c>
      <c r="J69" s="10">
        <v>4280.01</v>
      </c>
      <c r="K69" s="10">
        <v>2854.61</v>
      </c>
      <c r="L69" s="10">
        <v>4856.16</v>
      </c>
      <c r="M69" s="10">
        <v>2103.0500000000002</v>
      </c>
      <c r="N69" s="10">
        <v>968.29</v>
      </c>
      <c r="O69" s="11">
        <v>2616.42</v>
      </c>
      <c r="P69" s="10">
        <f>O69/O68*100-100</f>
        <v>-3.2389053254437812</v>
      </c>
    </row>
    <row r="70" spans="2:16" s="8" customFormat="1" ht="34.9" hidden="1" customHeight="1">
      <c r="B70" s="14">
        <v>39873</v>
      </c>
      <c r="C70" s="7">
        <v>2788.69</v>
      </c>
      <c r="D70" s="6">
        <v>1848.57</v>
      </c>
      <c r="E70" s="6">
        <v>1492.1</v>
      </c>
      <c r="F70" s="6">
        <v>930.22</v>
      </c>
      <c r="G70" s="6">
        <v>1490.3</v>
      </c>
      <c r="H70" s="6">
        <v>2015.46</v>
      </c>
      <c r="I70" s="6">
        <v>1483.77</v>
      </c>
      <c r="J70" s="6">
        <v>4698.97</v>
      </c>
      <c r="K70" s="6">
        <v>2930.6</v>
      </c>
      <c r="L70" s="6">
        <v>4966.07</v>
      </c>
      <c r="M70" s="6">
        <v>2136.41</v>
      </c>
      <c r="N70" s="6">
        <v>948.78</v>
      </c>
      <c r="O70" s="7">
        <v>2708.15</v>
      </c>
      <c r="P70" s="6">
        <f>O70/O69*100-100</f>
        <v>3.5059355913805916</v>
      </c>
    </row>
    <row r="71" spans="2:16" s="8" customFormat="1" ht="34.9" hidden="1" customHeight="1">
      <c r="B71" s="15">
        <v>39904</v>
      </c>
      <c r="C71" s="11">
        <v>2672</v>
      </c>
      <c r="D71" s="10">
        <v>1839.81</v>
      </c>
      <c r="E71" s="10">
        <v>1510.9</v>
      </c>
      <c r="F71" s="10">
        <v>869.38</v>
      </c>
      <c r="G71" s="10">
        <v>1520.68</v>
      </c>
      <c r="H71" s="10">
        <v>1875.66</v>
      </c>
      <c r="I71" s="10">
        <v>1756.77</v>
      </c>
      <c r="J71" s="10">
        <v>4297.51</v>
      </c>
      <c r="K71" s="10">
        <v>3027.61</v>
      </c>
      <c r="L71" s="10">
        <v>5191.4399999999996</v>
      </c>
      <c r="M71" s="10">
        <v>2096.8000000000002</v>
      </c>
      <c r="N71" s="10">
        <v>1007.33</v>
      </c>
      <c r="O71" s="11">
        <v>2736.5</v>
      </c>
      <c r="P71" s="10">
        <f>O71/O70*100-100</f>
        <v>1.0468400937909621</v>
      </c>
    </row>
    <row r="72" spans="2:16" s="8" customFormat="1" ht="34.9" hidden="1" customHeight="1">
      <c r="B72" s="14">
        <v>39934</v>
      </c>
      <c r="C72" s="7">
        <v>3117.8</v>
      </c>
      <c r="D72" s="6">
        <v>1805.1</v>
      </c>
      <c r="E72" s="6">
        <v>1447.5</v>
      </c>
      <c r="F72" s="6">
        <v>816</v>
      </c>
      <c r="G72" s="6">
        <v>1530.4</v>
      </c>
      <c r="H72" s="6">
        <v>1847</v>
      </c>
      <c r="I72" s="6">
        <v>1874.1</v>
      </c>
      <c r="J72" s="6">
        <v>5587.6</v>
      </c>
      <c r="K72" s="6">
        <v>2589.8000000000002</v>
      </c>
      <c r="L72" s="6">
        <v>5330.9</v>
      </c>
      <c r="M72" s="6">
        <v>1996.6</v>
      </c>
      <c r="N72" s="6">
        <v>1078</v>
      </c>
      <c r="O72" s="7">
        <v>2864.6</v>
      </c>
      <c r="P72" s="6">
        <f t="shared" ref="P72:P75" si="2">O72/O71*100-100</f>
        <v>4.6811620683354676</v>
      </c>
    </row>
    <row r="73" spans="2:16" s="8" customFormat="1" ht="34.9" hidden="1" customHeight="1">
      <c r="B73" s="15">
        <v>39965</v>
      </c>
      <c r="C73" s="11">
        <v>2935.3</v>
      </c>
      <c r="D73" s="10">
        <v>1978.9</v>
      </c>
      <c r="E73" s="10">
        <v>1430</v>
      </c>
      <c r="F73" s="10">
        <v>756</v>
      </c>
      <c r="G73" s="10">
        <v>1465.9</v>
      </c>
      <c r="H73" s="10">
        <v>1826.8</v>
      </c>
      <c r="I73" s="10">
        <v>1911.1</v>
      </c>
      <c r="J73" s="10">
        <v>5084.1000000000004</v>
      </c>
      <c r="K73" s="10">
        <v>2220.8000000000002</v>
      </c>
      <c r="L73" s="10">
        <v>5790</v>
      </c>
      <c r="M73" s="10">
        <v>1964.1</v>
      </c>
      <c r="N73" s="10">
        <v>1170.7</v>
      </c>
      <c r="O73" s="11">
        <v>2735.2</v>
      </c>
      <c r="P73" s="10">
        <f t="shared" si="2"/>
        <v>-4.5172100816867982</v>
      </c>
    </row>
    <row r="74" spans="2:16" s="8" customFormat="1" ht="34.9" hidden="1" customHeight="1">
      <c r="B74" s="14">
        <v>39995</v>
      </c>
      <c r="C74" s="7">
        <v>2885.2</v>
      </c>
      <c r="D74" s="6">
        <v>1938.7</v>
      </c>
      <c r="E74" s="6">
        <v>1466.2</v>
      </c>
      <c r="F74" s="6">
        <v>732.1</v>
      </c>
      <c r="G74" s="6">
        <v>1399.9</v>
      </c>
      <c r="H74" s="6">
        <v>1801.4</v>
      </c>
      <c r="I74" s="6">
        <v>1963.6</v>
      </c>
      <c r="J74" s="6">
        <v>5043.1000000000004</v>
      </c>
      <c r="K74" s="6">
        <v>2037.96</v>
      </c>
      <c r="L74" s="6">
        <v>5183.5</v>
      </c>
      <c r="M74" s="6">
        <v>1865.8</v>
      </c>
      <c r="N74" s="6">
        <v>1130.8</v>
      </c>
      <c r="O74" s="7">
        <v>2618.8000000000002</v>
      </c>
      <c r="P74" s="6">
        <f t="shared" si="2"/>
        <v>-4.2556303012576677</v>
      </c>
    </row>
    <row r="75" spans="2:16" s="8" customFormat="1" ht="34.9" hidden="1" customHeight="1">
      <c r="B75" s="15">
        <v>40026</v>
      </c>
      <c r="C75" s="11">
        <v>2868.1</v>
      </c>
      <c r="D75" s="10">
        <v>1969.2</v>
      </c>
      <c r="E75" s="10">
        <v>1533.2</v>
      </c>
      <c r="F75" s="10">
        <v>791.3</v>
      </c>
      <c r="G75" s="10">
        <v>1369.8</v>
      </c>
      <c r="H75" s="10">
        <v>1891.7</v>
      </c>
      <c r="I75" s="10">
        <v>1860.5</v>
      </c>
      <c r="J75" s="10">
        <v>4953.6000000000004</v>
      </c>
      <c r="K75" s="10">
        <v>1989.4</v>
      </c>
      <c r="L75" s="10">
        <v>5312.3</v>
      </c>
      <c r="M75" s="10">
        <v>1895.8</v>
      </c>
      <c r="N75" s="10">
        <v>1632.3</v>
      </c>
      <c r="O75" s="11">
        <v>2564.5</v>
      </c>
      <c r="P75" s="10">
        <f t="shared" si="2"/>
        <v>-2.0734687643195429</v>
      </c>
    </row>
    <row r="76" spans="2:16" s="8" customFormat="1" ht="34.9" hidden="1" customHeight="1">
      <c r="B76" s="14">
        <v>40057</v>
      </c>
      <c r="C76" s="7">
        <v>2791.9</v>
      </c>
      <c r="D76" s="6">
        <v>1966.7</v>
      </c>
      <c r="E76" s="6">
        <v>1684</v>
      </c>
      <c r="F76" s="6">
        <v>800.9</v>
      </c>
      <c r="G76" s="6">
        <v>1445.4</v>
      </c>
      <c r="H76" s="6">
        <v>1887.1</v>
      </c>
      <c r="I76" s="6">
        <v>2036.2</v>
      </c>
      <c r="J76" s="6">
        <v>4631.3999999999996</v>
      </c>
      <c r="K76" s="6">
        <v>2183.1</v>
      </c>
      <c r="L76" s="6">
        <v>5425.1</v>
      </c>
      <c r="M76" s="6">
        <v>1972.3</v>
      </c>
      <c r="N76" s="6">
        <v>1649.7</v>
      </c>
      <c r="O76" s="7">
        <v>2688.2</v>
      </c>
      <c r="P76" s="6">
        <f>O76/O75*100-100</f>
        <v>4.8235523493858352</v>
      </c>
    </row>
    <row r="77" spans="2:16" s="8" customFormat="1" ht="34.9" hidden="1" customHeight="1">
      <c r="B77" s="15">
        <v>40087</v>
      </c>
      <c r="C77" s="11">
        <v>2656</v>
      </c>
      <c r="D77" s="10">
        <v>2003.5</v>
      </c>
      <c r="E77" s="10">
        <v>1652.3</v>
      </c>
      <c r="F77" s="10">
        <v>713</v>
      </c>
      <c r="G77" s="10">
        <v>1446.1</v>
      </c>
      <c r="H77" s="10">
        <v>1968.5</v>
      </c>
      <c r="I77" s="10">
        <v>2036.4</v>
      </c>
      <c r="J77" s="10">
        <v>4306</v>
      </c>
      <c r="K77" s="10">
        <v>2064.1</v>
      </c>
      <c r="L77" s="10">
        <v>5111</v>
      </c>
      <c r="M77" s="10">
        <v>1931.2</v>
      </c>
      <c r="N77" s="10">
        <v>1542.7</v>
      </c>
      <c r="O77" s="11">
        <v>2615.9</v>
      </c>
      <c r="P77" s="10">
        <f>O77/O76*100-100</f>
        <v>-2.6895320288668927</v>
      </c>
    </row>
    <row r="78" spans="2:16" s="8" customFormat="1" ht="34.9" hidden="1" customHeight="1">
      <c r="B78" s="14">
        <v>40118</v>
      </c>
      <c r="C78" s="7">
        <v>2721.2</v>
      </c>
      <c r="D78" s="6">
        <v>1979.6</v>
      </c>
      <c r="E78" s="6">
        <v>1687.6</v>
      </c>
      <c r="F78" s="6">
        <v>710.6</v>
      </c>
      <c r="G78" s="6">
        <v>1424.1</v>
      </c>
      <c r="H78" s="6">
        <v>1860.8</v>
      </c>
      <c r="I78" s="6">
        <v>2063</v>
      </c>
      <c r="J78" s="6">
        <v>4519.3</v>
      </c>
      <c r="K78" s="6">
        <v>1996.8</v>
      </c>
      <c r="L78" s="6">
        <v>4977.6000000000004</v>
      </c>
      <c r="M78" s="6">
        <v>1940.1</v>
      </c>
      <c r="N78" s="6">
        <v>1349.9</v>
      </c>
      <c r="O78" s="7">
        <v>2583.5</v>
      </c>
      <c r="P78" s="6">
        <f>O78/O77*100-100</f>
        <v>-1.23857945640124</v>
      </c>
    </row>
    <row r="79" spans="2:16" s="8" customFormat="1" ht="34.9" hidden="1" customHeight="1">
      <c r="B79" s="15">
        <v>40148</v>
      </c>
      <c r="C79" s="11">
        <v>2738.8</v>
      </c>
      <c r="D79" s="10">
        <v>1994.6</v>
      </c>
      <c r="E79" s="10">
        <v>1639.1</v>
      </c>
      <c r="F79" s="10">
        <v>517.29999999999995</v>
      </c>
      <c r="G79" s="10">
        <v>1459</v>
      </c>
      <c r="H79" s="10">
        <v>1924.4</v>
      </c>
      <c r="I79" s="10">
        <v>2065.9</v>
      </c>
      <c r="J79" s="10">
        <v>4587.1000000000004</v>
      </c>
      <c r="K79" s="10">
        <v>1973.4</v>
      </c>
      <c r="L79" s="10">
        <v>4909.7</v>
      </c>
      <c r="M79" s="10">
        <v>1965.9</v>
      </c>
      <c r="N79" s="10">
        <v>978.9</v>
      </c>
      <c r="O79" s="11">
        <v>2533.5</v>
      </c>
      <c r="P79" s="10">
        <f>O79/O78*100-100</f>
        <v>-1.9353590090961887</v>
      </c>
    </row>
    <row r="80" spans="2:16" s="8" customFormat="1" ht="34.9" hidden="1" customHeight="1">
      <c r="B80" s="3">
        <v>2010</v>
      </c>
      <c r="C80" s="93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3"/>
      <c r="P80" s="94"/>
    </row>
    <row r="81" spans="2:16" s="8" customFormat="1" ht="34.9" hidden="1" customHeight="1">
      <c r="B81" s="14">
        <v>40179</v>
      </c>
      <c r="C81" s="7">
        <v>2752.4</v>
      </c>
      <c r="D81" s="6">
        <v>1998.7</v>
      </c>
      <c r="E81" s="6">
        <v>1589.8</v>
      </c>
      <c r="F81" s="6">
        <v>496.6</v>
      </c>
      <c r="G81" s="6">
        <v>1427.8</v>
      </c>
      <c r="H81" s="6">
        <v>1849.5</v>
      </c>
      <c r="I81" s="6">
        <v>2141.1999999999998</v>
      </c>
      <c r="J81" s="6">
        <v>4660.3999999999996</v>
      </c>
      <c r="K81" s="6">
        <v>1889.5</v>
      </c>
      <c r="L81" s="6">
        <v>4755.5</v>
      </c>
      <c r="M81" s="6">
        <v>1982.7</v>
      </c>
      <c r="N81" s="6">
        <v>856.3</v>
      </c>
      <c r="O81" s="7">
        <v>2525.1</v>
      </c>
      <c r="P81" s="6">
        <f>O81/O79*100-100</f>
        <v>-0.33155713439904844</v>
      </c>
    </row>
    <row r="82" spans="2:16" s="8" customFormat="1" ht="34.9" hidden="1" customHeight="1">
      <c r="B82" s="15">
        <v>40210</v>
      </c>
      <c r="C82" s="11">
        <v>2659.6</v>
      </c>
      <c r="D82" s="10">
        <v>1976.3</v>
      </c>
      <c r="E82" s="10">
        <v>1566.6</v>
      </c>
      <c r="F82" s="10">
        <v>416.4</v>
      </c>
      <c r="G82" s="10">
        <v>1385.1</v>
      </c>
      <c r="H82" s="10">
        <v>1761.8</v>
      </c>
      <c r="I82" s="10">
        <v>2171.9</v>
      </c>
      <c r="J82" s="10">
        <v>4457.3</v>
      </c>
      <c r="K82" s="10">
        <v>1831.4</v>
      </c>
      <c r="L82" s="10">
        <v>4603.3999999999996</v>
      </c>
      <c r="M82" s="10">
        <v>1996.8</v>
      </c>
      <c r="N82" s="10">
        <v>751.6</v>
      </c>
      <c r="O82" s="11">
        <v>2470.9</v>
      </c>
      <c r="P82" s="10">
        <f>O82/O81*100-100</f>
        <v>-2.146449645558576</v>
      </c>
    </row>
    <row r="83" spans="2:16" s="8" customFormat="1" ht="34.9" hidden="1" customHeight="1">
      <c r="B83" s="14">
        <v>40238</v>
      </c>
      <c r="C83" s="7">
        <v>2685.5</v>
      </c>
      <c r="D83" s="6">
        <v>1954</v>
      </c>
      <c r="E83" s="6">
        <v>1567.6</v>
      </c>
      <c r="F83" s="6">
        <v>444.5</v>
      </c>
      <c r="G83" s="6">
        <v>1454.1</v>
      </c>
      <c r="H83" s="6">
        <v>1665.4</v>
      </c>
      <c r="I83" s="6">
        <v>2004.3</v>
      </c>
      <c r="J83" s="6">
        <v>4554</v>
      </c>
      <c r="K83" s="6">
        <v>1983.6</v>
      </c>
      <c r="L83" s="6">
        <v>4601.1000000000004</v>
      </c>
      <c r="M83" s="6">
        <v>2030.1</v>
      </c>
      <c r="N83" s="6">
        <v>838.1</v>
      </c>
      <c r="O83" s="7">
        <v>2517.6999999999998</v>
      </c>
      <c r="P83" s="6">
        <f>O83/O82*100-100</f>
        <v>1.8940467036302522</v>
      </c>
    </row>
    <row r="84" spans="2:16" s="8" customFormat="1" ht="34.9" hidden="1" customHeight="1">
      <c r="B84" s="15">
        <v>40269</v>
      </c>
      <c r="C84" s="11">
        <v>2734.8</v>
      </c>
      <c r="D84" s="10">
        <v>2061.1999999999998</v>
      </c>
      <c r="E84" s="10">
        <v>1544.8</v>
      </c>
      <c r="F84" s="10">
        <v>634.6</v>
      </c>
      <c r="G84" s="10">
        <v>1478.5</v>
      </c>
      <c r="H84" s="10">
        <v>1624.3</v>
      </c>
      <c r="I84" s="10">
        <v>2277.8000000000002</v>
      </c>
      <c r="J84" s="10">
        <v>4580.3</v>
      </c>
      <c r="K84" s="10">
        <v>2052.9</v>
      </c>
      <c r="L84" s="10">
        <v>4560.2</v>
      </c>
      <c r="M84" s="10">
        <v>2015.7</v>
      </c>
      <c r="N84" s="10">
        <v>861.9</v>
      </c>
      <c r="O84" s="11">
        <v>2575.5</v>
      </c>
      <c r="P84" s="10">
        <f>O84/O83*100-100</f>
        <v>2.2957461174881928</v>
      </c>
    </row>
    <row r="85" spans="2:16" s="8" customFormat="1" ht="34.9" hidden="1" customHeight="1">
      <c r="B85" s="14">
        <v>40299</v>
      </c>
      <c r="C85" s="7">
        <v>2531.5</v>
      </c>
      <c r="D85" s="6">
        <v>2009.5</v>
      </c>
      <c r="E85" s="6">
        <v>1534</v>
      </c>
      <c r="F85" s="6">
        <v>481.1</v>
      </c>
      <c r="G85" s="6">
        <v>1461.4</v>
      </c>
      <c r="H85" s="6">
        <v>1602.9</v>
      </c>
      <c r="I85" s="6">
        <v>2413.9</v>
      </c>
      <c r="J85" s="6">
        <v>4022.1</v>
      </c>
      <c r="K85" s="6">
        <v>1999.3</v>
      </c>
      <c r="L85" s="6">
        <v>4419.7</v>
      </c>
      <c r="M85" s="6">
        <v>1937.9</v>
      </c>
      <c r="N85" s="6">
        <v>748.3</v>
      </c>
      <c r="O85" s="7">
        <v>2401.6</v>
      </c>
      <c r="P85" s="6">
        <f t="shared" ref="P85:P88" si="3">O85/O84*100-100</f>
        <v>-6.7520869734032232</v>
      </c>
    </row>
    <row r="86" spans="2:16" s="8" customFormat="1" ht="34.9" hidden="1" customHeight="1">
      <c r="B86" s="15">
        <v>40330</v>
      </c>
      <c r="C86" s="11">
        <v>2483.48</v>
      </c>
      <c r="D86" s="10">
        <v>2015.77</v>
      </c>
      <c r="E86" s="10">
        <v>1511.48</v>
      </c>
      <c r="F86" s="10">
        <v>397.41</v>
      </c>
      <c r="G86" s="10">
        <v>1424.44</v>
      </c>
      <c r="H86" s="10">
        <v>1466.27</v>
      </c>
      <c r="I86" s="10">
        <v>2283.85</v>
      </c>
      <c r="J86" s="10">
        <v>3951.11</v>
      </c>
      <c r="K86" s="10">
        <v>1995.56</v>
      </c>
      <c r="L86" s="10">
        <v>4255.2700000000004</v>
      </c>
      <c r="M86" s="10">
        <v>1972.86</v>
      </c>
      <c r="N86" s="10">
        <v>821.24</v>
      </c>
      <c r="O86" s="11">
        <v>2348.56</v>
      </c>
      <c r="P86" s="10">
        <f t="shared" si="3"/>
        <v>-2.208527648234508</v>
      </c>
    </row>
    <row r="87" spans="2:16" s="8" customFormat="1" ht="34.9" hidden="1" customHeight="1">
      <c r="B87" s="14">
        <v>40360</v>
      </c>
      <c r="C87" s="7">
        <v>2422.6799999999998</v>
      </c>
      <c r="D87" s="6">
        <v>1991.38</v>
      </c>
      <c r="E87" s="6">
        <v>1562.04</v>
      </c>
      <c r="F87" s="6">
        <v>401.86</v>
      </c>
      <c r="G87" s="6">
        <v>1371.04</v>
      </c>
      <c r="H87" s="6">
        <v>1495.37</v>
      </c>
      <c r="I87" s="6">
        <v>2337.09</v>
      </c>
      <c r="J87" s="6">
        <v>3749.85</v>
      </c>
      <c r="K87" s="6">
        <v>1968.78</v>
      </c>
      <c r="L87" s="6">
        <v>4097.41</v>
      </c>
      <c r="M87" s="6">
        <v>1938.54</v>
      </c>
      <c r="N87" s="6">
        <v>1395.47</v>
      </c>
      <c r="O87" s="7">
        <v>2334.77</v>
      </c>
      <c r="P87" s="6">
        <f t="shared" si="3"/>
        <v>-0.58716830738835313</v>
      </c>
    </row>
    <row r="88" spans="2:16" s="8" customFormat="1" ht="34.9" hidden="1" customHeight="1">
      <c r="B88" s="15">
        <v>40391</v>
      </c>
      <c r="C88" s="11">
        <v>2329.9</v>
      </c>
      <c r="D88" s="10">
        <v>1977.76</v>
      </c>
      <c r="E88" s="10">
        <v>1519.78</v>
      </c>
      <c r="F88" s="10">
        <v>435.99</v>
      </c>
      <c r="G88" s="10">
        <v>1366.05</v>
      </c>
      <c r="H88" s="10">
        <v>1531.01</v>
      </c>
      <c r="I88" s="10">
        <v>2338.69</v>
      </c>
      <c r="J88" s="10">
        <v>3514.83</v>
      </c>
      <c r="K88" s="10">
        <v>1923.98</v>
      </c>
      <c r="L88" s="10">
        <v>3666.33</v>
      </c>
      <c r="M88" s="10">
        <v>1902.13</v>
      </c>
      <c r="N88" s="10">
        <v>1865.08</v>
      </c>
      <c r="O88" s="11">
        <v>2249</v>
      </c>
      <c r="P88" s="10">
        <f t="shared" si="3"/>
        <v>-3.673595257776995</v>
      </c>
    </row>
    <row r="89" spans="2:16" s="8" customFormat="1" ht="34.9" hidden="1" customHeight="1">
      <c r="B89" s="14">
        <v>40422</v>
      </c>
      <c r="C89" s="7">
        <v>2389.4</v>
      </c>
      <c r="D89" s="6">
        <v>1995.2</v>
      </c>
      <c r="E89" s="6">
        <v>1535</v>
      </c>
      <c r="F89" s="6">
        <v>424.9</v>
      </c>
      <c r="G89" s="6">
        <v>1474.8</v>
      </c>
      <c r="H89" s="6">
        <v>1481</v>
      </c>
      <c r="I89" s="6">
        <v>2436.6</v>
      </c>
      <c r="J89" s="6">
        <v>3687.9</v>
      </c>
      <c r="K89" s="6">
        <v>1936.1</v>
      </c>
      <c r="L89" s="6">
        <v>3448.9</v>
      </c>
      <c r="M89" s="6">
        <v>1989.6</v>
      </c>
      <c r="N89" s="6">
        <v>1592.4</v>
      </c>
      <c r="O89" s="7">
        <v>2306.5</v>
      </c>
      <c r="P89" s="6">
        <f>O89/O88*100-100</f>
        <v>2.5566918630502471</v>
      </c>
    </row>
    <row r="90" spans="2:16" s="8" customFormat="1" ht="34.9" hidden="1" customHeight="1">
      <c r="B90" s="15">
        <v>40452</v>
      </c>
      <c r="C90" s="11">
        <v>2469</v>
      </c>
      <c r="D90" s="10">
        <v>2063.5</v>
      </c>
      <c r="E90" s="10">
        <v>1496.7</v>
      </c>
      <c r="F90" s="10">
        <v>381.1</v>
      </c>
      <c r="G90" s="10">
        <v>1408.7</v>
      </c>
      <c r="H90" s="10">
        <v>1563.5</v>
      </c>
      <c r="I90" s="10">
        <v>2664.8</v>
      </c>
      <c r="J90" s="10">
        <v>3926.3</v>
      </c>
      <c r="K90" s="10">
        <v>1878.4</v>
      </c>
      <c r="L90" s="10">
        <v>3339.1</v>
      </c>
      <c r="M90" s="10">
        <v>1942.9</v>
      </c>
      <c r="N90" s="10">
        <v>1045.7</v>
      </c>
      <c r="O90" s="11">
        <v>2335.6</v>
      </c>
      <c r="P90" s="10">
        <f>O90/O89*100-100</f>
        <v>1.2616518534576073</v>
      </c>
    </row>
    <row r="91" spans="2:16" s="8" customFormat="1" ht="34.9" hidden="1" customHeight="1">
      <c r="B91" s="14">
        <v>40483</v>
      </c>
      <c r="C91" s="7">
        <v>2490.1</v>
      </c>
      <c r="D91" s="6">
        <v>2133</v>
      </c>
      <c r="E91" s="6">
        <v>1493.3</v>
      </c>
      <c r="F91" s="6">
        <v>363.7</v>
      </c>
      <c r="G91" s="6">
        <v>1424.2</v>
      </c>
      <c r="H91" s="6">
        <v>1600.4</v>
      </c>
      <c r="I91" s="6">
        <v>2634.6</v>
      </c>
      <c r="J91" s="6">
        <v>3961.2</v>
      </c>
      <c r="K91" s="6">
        <v>1903.5</v>
      </c>
      <c r="L91" s="6">
        <v>3394.9</v>
      </c>
      <c r="M91" s="6">
        <v>1931.7</v>
      </c>
      <c r="N91" s="6">
        <v>809.3</v>
      </c>
      <c r="O91" s="7">
        <v>2354.6</v>
      </c>
      <c r="P91" s="6">
        <f>O91/O90*100-100</f>
        <v>0.813495461551625</v>
      </c>
    </row>
    <row r="92" spans="2:16" s="8" customFormat="1" ht="34.9" hidden="1" customHeight="1">
      <c r="B92" s="15">
        <v>40513</v>
      </c>
      <c r="C92" s="11">
        <v>2576.6</v>
      </c>
      <c r="D92" s="10">
        <v>2070.5</v>
      </c>
      <c r="E92" s="10">
        <v>1530</v>
      </c>
      <c r="F92" s="10">
        <v>350.5</v>
      </c>
      <c r="G92" s="10">
        <v>1418.6</v>
      </c>
      <c r="H92" s="10">
        <v>1509.5</v>
      </c>
      <c r="I92" s="10">
        <v>2659.1</v>
      </c>
      <c r="J92" s="10">
        <v>4210.8999999999996</v>
      </c>
      <c r="K92" s="10">
        <v>1915.2</v>
      </c>
      <c r="L92" s="10">
        <v>3717.4</v>
      </c>
      <c r="M92" s="10">
        <v>1928.6</v>
      </c>
      <c r="N92" s="10">
        <v>735.2</v>
      </c>
      <c r="O92" s="11">
        <v>2373.6</v>
      </c>
      <c r="P92" s="10">
        <f>O92/O91*100-100</f>
        <v>0.80693111356492864</v>
      </c>
    </row>
    <row r="93" spans="2:16" s="8" customFormat="1" ht="34.9" hidden="1" customHeight="1">
      <c r="B93" s="3">
        <v>2011</v>
      </c>
      <c r="C93" s="93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3"/>
      <c r="P93" s="94"/>
    </row>
    <row r="94" spans="2:16" s="8" customFormat="1" ht="34.9" hidden="1" customHeight="1">
      <c r="B94" s="14">
        <v>40544</v>
      </c>
      <c r="C94" s="7">
        <v>2568.4</v>
      </c>
      <c r="D94" s="6">
        <v>2005.9</v>
      </c>
      <c r="E94" s="6">
        <v>1492.6</v>
      </c>
      <c r="F94" s="6">
        <v>316.10000000000002</v>
      </c>
      <c r="G94" s="6">
        <v>1451.4</v>
      </c>
      <c r="H94" s="6">
        <v>1540.9</v>
      </c>
      <c r="I94" s="6">
        <v>2779.1</v>
      </c>
      <c r="J94" s="6">
        <v>4129.3</v>
      </c>
      <c r="K94" s="6">
        <v>1883.9</v>
      </c>
      <c r="L94" s="6">
        <v>4068.7</v>
      </c>
      <c r="M94" s="6">
        <v>1922.3</v>
      </c>
      <c r="N94" s="6">
        <v>721.8</v>
      </c>
      <c r="O94" s="7">
        <v>2373.8000000000002</v>
      </c>
      <c r="P94" s="6">
        <f>O94/O92*100-100</f>
        <v>8.4260195483807365E-3</v>
      </c>
    </row>
    <row r="95" spans="2:16" s="8" customFormat="1" ht="34.9" hidden="1" customHeight="1">
      <c r="B95" s="15">
        <v>40575</v>
      </c>
      <c r="C95" s="11">
        <v>2427.5</v>
      </c>
      <c r="D95" s="10">
        <v>2047.1</v>
      </c>
      <c r="E95" s="10">
        <v>1477.3</v>
      </c>
      <c r="F95" s="10">
        <v>297.89999999999998</v>
      </c>
      <c r="G95" s="10">
        <v>1396</v>
      </c>
      <c r="H95" s="10">
        <v>1468.7</v>
      </c>
      <c r="I95" s="10">
        <v>3515.5</v>
      </c>
      <c r="J95" s="10">
        <v>3718</v>
      </c>
      <c r="K95" s="10">
        <v>1845.9</v>
      </c>
      <c r="L95" s="10">
        <v>3226.4</v>
      </c>
      <c r="M95" s="10">
        <v>1921.6</v>
      </c>
      <c r="N95" s="10">
        <v>587.20000000000005</v>
      </c>
      <c r="O95" s="11">
        <v>2251.6999999999998</v>
      </c>
      <c r="P95" s="10">
        <f>O95/O94*100-100</f>
        <v>-5.1436515291937184</v>
      </c>
    </row>
    <row r="96" spans="2:16" s="8" customFormat="1" ht="34.9" hidden="1" customHeight="1">
      <c r="B96" s="14">
        <v>40603</v>
      </c>
      <c r="C96" s="7">
        <v>2293.3000000000002</v>
      </c>
      <c r="D96" s="6">
        <v>2049.9</v>
      </c>
      <c r="E96" s="6">
        <v>1443</v>
      </c>
      <c r="F96" s="6">
        <v>278.8</v>
      </c>
      <c r="G96" s="6">
        <v>1290.8</v>
      </c>
      <c r="H96" s="6">
        <v>1432.1</v>
      </c>
      <c r="I96" s="6">
        <v>2931.4</v>
      </c>
      <c r="J96" s="6">
        <v>3520</v>
      </c>
      <c r="K96" s="6">
        <v>1786.3</v>
      </c>
      <c r="L96" s="6">
        <v>2887.9</v>
      </c>
      <c r="M96" s="6">
        <v>1939.2</v>
      </c>
      <c r="N96" s="6">
        <v>506</v>
      </c>
      <c r="O96" s="7">
        <v>2175.6</v>
      </c>
      <c r="P96" s="6">
        <f>O96/O95*100-100</f>
        <v>-3.37966869476395</v>
      </c>
    </row>
    <row r="97" spans="2:16" s="8" customFormat="1" ht="34.9" hidden="1" customHeight="1">
      <c r="B97" s="15">
        <v>40634</v>
      </c>
      <c r="C97" s="11">
        <v>2360.5</v>
      </c>
      <c r="D97" s="10">
        <v>1961.3</v>
      </c>
      <c r="E97" s="10">
        <v>1443.9</v>
      </c>
      <c r="F97" s="10">
        <v>299.5</v>
      </c>
      <c r="G97" s="10">
        <v>1353.4</v>
      </c>
      <c r="H97" s="10">
        <v>1449.2</v>
      </c>
      <c r="I97" s="10">
        <v>3204.4</v>
      </c>
      <c r="J97" s="10">
        <v>3671.7</v>
      </c>
      <c r="K97" s="10">
        <v>1813.3</v>
      </c>
      <c r="L97" s="10">
        <v>3045.2</v>
      </c>
      <c r="M97" s="10">
        <v>1907.2</v>
      </c>
      <c r="N97" s="10">
        <v>545</v>
      </c>
      <c r="O97" s="11">
        <v>2198</v>
      </c>
      <c r="P97" s="10">
        <f>O97/O96*100-100</f>
        <v>1.0296010296010394</v>
      </c>
    </row>
    <row r="98" spans="2:16" s="8" customFormat="1" ht="34.9" hidden="1" customHeight="1">
      <c r="B98" s="14">
        <v>40664</v>
      </c>
      <c r="C98" s="7">
        <v>2285.8000000000002</v>
      </c>
      <c r="D98" s="6">
        <v>2027.1</v>
      </c>
      <c r="E98" s="6">
        <v>1407.6</v>
      </c>
      <c r="F98" s="6">
        <v>289.8</v>
      </c>
      <c r="G98" s="6">
        <v>1735.3</v>
      </c>
      <c r="H98" s="6">
        <v>1457.6</v>
      </c>
      <c r="I98" s="6">
        <v>2841.9</v>
      </c>
      <c r="J98" s="6">
        <v>3519.9</v>
      </c>
      <c r="K98" s="6">
        <v>1913.9</v>
      </c>
      <c r="L98" s="6">
        <v>2712.7</v>
      </c>
      <c r="M98" s="6">
        <v>1921.3</v>
      </c>
      <c r="N98" s="6">
        <v>628.1</v>
      </c>
      <c r="O98" s="7">
        <v>2159.8000000000002</v>
      </c>
      <c r="P98" s="6">
        <f t="shared" ref="P98:P101" si="4">O98/O97*100-100</f>
        <v>-1.7379435850773461</v>
      </c>
    </row>
    <row r="99" spans="2:16" s="8" customFormat="1" ht="34.9" hidden="1" customHeight="1">
      <c r="B99" s="15">
        <v>40695</v>
      </c>
      <c r="C99" s="11">
        <v>2219</v>
      </c>
      <c r="D99" s="10">
        <v>1947</v>
      </c>
      <c r="E99" s="10">
        <v>1390</v>
      </c>
      <c r="F99" s="10">
        <v>228</v>
      </c>
      <c r="G99" s="10">
        <v>1820.6</v>
      </c>
      <c r="H99" s="10">
        <v>1448.1</v>
      </c>
      <c r="I99" s="10">
        <v>2903.2</v>
      </c>
      <c r="J99" s="10">
        <v>3471.7</v>
      </c>
      <c r="K99" s="10">
        <v>1929.4</v>
      </c>
      <c r="L99" s="10">
        <v>2266</v>
      </c>
      <c r="M99" s="10">
        <v>1795.4</v>
      </c>
      <c r="N99" s="10">
        <v>509.4</v>
      </c>
      <c r="O99" s="11">
        <v>2093.5</v>
      </c>
      <c r="P99" s="10">
        <f t="shared" si="4"/>
        <v>-3.069728678581356</v>
      </c>
    </row>
    <row r="100" spans="2:16" s="8" customFormat="1" ht="34.9" hidden="1" customHeight="1">
      <c r="B100" s="14">
        <v>40725</v>
      </c>
      <c r="C100" s="7">
        <v>2256.9</v>
      </c>
      <c r="D100" s="6">
        <v>1933.5</v>
      </c>
      <c r="E100" s="6">
        <v>1343</v>
      </c>
      <c r="F100" s="6">
        <v>246</v>
      </c>
      <c r="G100" s="6">
        <v>1830.6</v>
      </c>
      <c r="H100" s="6">
        <v>1454.3</v>
      </c>
      <c r="I100" s="6">
        <v>2982.5</v>
      </c>
      <c r="J100" s="6">
        <v>3549.3</v>
      </c>
      <c r="K100" s="6">
        <v>1964.9</v>
      </c>
      <c r="L100" s="6">
        <v>2352.3000000000002</v>
      </c>
      <c r="M100" s="6">
        <v>1854.4</v>
      </c>
      <c r="N100" s="6">
        <v>455.6</v>
      </c>
      <c r="O100" s="7">
        <v>2082.8000000000002</v>
      </c>
      <c r="P100" s="6">
        <f t="shared" si="4"/>
        <v>-0.51110580367804914</v>
      </c>
    </row>
    <row r="101" spans="2:16" s="8" customFormat="1" ht="34.9" hidden="1" customHeight="1">
      <c r="B101" s="15">
        <v>40756</v>
      </c>
      <c r="C101" s="11">
        <v>2197.1999999999998</v>
      </c>
      <c r="D101" s="10">
        <v>1923.8</v>
      </c>
      <c r="E101" s="10">
        <v>1348.2</v>
      </c>
      <c r="F101" s="10">
        <v>220.9</v>
      </c>
      <c r="G101" s="10">
        <v>1763.9</v>
      </c>
      <c r="H101" s="10">
        <v>1449.3</v>
      </c>
      <c r="I101" s="10">
        <v>2824.8</v>
      </c>
      <c r="J101" s="10">
        <v>3410.3</v>
      </c>
      <c r="K101" s="10">
        <v>1914.9</v>
      </c>
      <c r="L101" s="10">
        <v>2399.4</v>
      </c>
      <c r="M101" s="10">
        <v>1815.8</v>
      </c>
      <c r="N101" s="10">
        <v>506.7</v>
      </c>
      <c r="O101" s="11">
        <v>2036.4</v>
      </c>
      <c r="P101" s="10">
        <f t="shared" si="4"/>
        <v>-2.2277703091991583</v>
      </c>
    </row>
    <row r="102" spans="2:16" s="8" customFormat="1" ht="34.9" hidden="1" customHeight="1">
      <c r="B102" s="14">
        <v>40787</v>
      </c>
      <c r="C102" s="7">
        <v>2144.8000000000002</v>
      </c>
      <c r="D102" s="6">
        <v>1974.3</v>
      </c>
      <c r="E102" s="6">
        <v>1342.3</v>
      </c>
      <c r="F102" s="6">
        <v>291.2</v>
      </c>
      <c r="G102" s="6">
        <v>1445.5</v>
      </c>
      <c r="H102" s="6">
        <v>1420.6</v>
      </c>
      <c r="I102" s="6">
        <v>2818.7</v>
      </c>
      <c r="J102" s="6">
        <v>3297.8</v>
      </c>
      <c r="K102" s="6">
        <v>1865.6</v>
      </c>
      <c r="L102" s="6">
        <v>2100.9</v>
      </c>
      <c r="M102" s="6">
        <v>1813</v>
      </c>
      <c r="N102" s="6">
        <v>669.5</v>
      </c>
      <c r="O102" s="7">
        <v>1991.6</v>
      </c>
      <c r="P102" s="6">
        <f>O102/O101*100-100</f>
        <v>-2.1999607149872418</v>
      </c>
    </row>
    <row r="103" spans="2:16" s="8" customFormat="1" ht="34.9" hidden="1" customHeight="1">
      <c r="B103" s="15">
        <v>40817</v>
      </c>
      <c r="C103" s="11">
        <v>2154.6</v>
      </c>
      <c r="D103" s="10">
        <v>1940.5</v>
      </c>
      <c r="E103" s="10">
        <v>1335.2</v>
      </c>
      <c r="F103" s="10">
        <v>238</v>
      </c>
      <c r="G103" s="10">
        <v>1441.7</v>
      </c>
      <c r="H103" s="10">
        <v>1407.7</v>
      </c>
      <c r="I103" s="10">
        <v>2915.6</v>
      </c>
      <c r="J103" s="10">
        <v>3399.4</v>
      </c>
      <c r="K103" s="10">
        <v>1792.1</v>
      </c>
      <c r="L103" s="10">
        <v>1897.1</v>
      </c>
      <c r="M103" s="10">
        <v>1777.6</v>
      </c>
      <c r="N103" s="10">
        <v>634.79999999999995</v>
      </c>
      <c r="O103" s="11">
        <v>2018.2</v>
      </c>
      <c r="P103" s="10">
        <f>O103/O102*100-100</f>
        <v>1.3356095601526334</v>
      </c>
    </row>
    <row r="104" spans="2:16" s="8" customFormat="1" ht="34.9" hidden="1" customHeight="1">
      <c r="B104" s="14">
        <v>40848</v>
      </c>
      <c r="C104" s="7">
        <v>2101.8000000000002</v>
      </c>
      <c r="D104" s="6">
        <v>1585.8</v>
      </c>
      <c r="E104" s="6">
        <v>1323.4</v>
      </c>
      <c r="F104" s="6">
        <v>223.7</v>
      </c>
      <c r="G104" s="6">
        <v>1469</v>
      </c>
      <c r="H104" s="6">
        <v>1407.7</v>
      </c>
      <c r="I104" s="6">
        <v>3105.4</v>
      </c>
      <c r="J104" s="6">
        <v>3359.8</v>
      </c>
      <c r="K104" s="6">
        <v>1784.6</v>
      </c>
      <c r="L104" s="6">
        <v>1823.7</v>
      </c>
      <c r="M104" s="6">
        <v>1751.9</v>
      </c>
      <c r="N104" s="6">
        <v>578.1</v>
      </c>
      <c r="O104" s="7">
        <v>1964.2</v>
      </c>
      <c r="P104" s="6">
        <f>O104/O103*100-100</f>
        <v>-2.6756515707065773</v>
      </c>
    </row>
    <row r="105" spans="2:16" s="8" customFormat="1" ht="34.9" hidden="1" customHeight="1">
      <c r="B105" s="15">
        <v>40878</v>
      </c>
      <c r="C105" s="11">
        <v>2149.9</v>
      </c>
      <c r="D105" s="10">
        <v>1656.6</v>
      </c>
      <c r="E105" s="10">
        <v>1338.7</v>
      </c>
      <c r="F105" s="10">
        <v>223.6</v>
      </c>
      <c r="G105" s="10">
        <v>1431.3</v>
      </c>
      <c r="H105" s="10">
        <v>1315.2</v>
      </c>
      <c r="I105" s="10">
        <v>3176.2</v>
      </c>
      <c r="J105" s="10">
        <v>3397</v>
      </c>
      <c r="K105" s="10">
        <v>1819.6</v>
      </c>
      <c r="L105" s="10">
        <v>1909.3</v>
      </c>
      <c r="M105" s="10">
        <v>1982.4</v>
      </c>
      <c r="N105" s="10">
        <v>660.5</v>
      </c>
      <c r="O105" s="11">
        <v>1995.1</v>
      </c>
      <c r="P105" s="10">
        <f>O105/O104*100-100</f>
        <v>1.5731595560533549</v>
      </c>
    </row>
    <row r="106" spans="2:16" s="8" customFormat="1" ht="34.9" hidden="1" customHeight="1">
      <c r="B106" s="3">
        <v>2012</v>
      </c>
      <c r="C106" s="93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3"/>
      <c r="P106" s="94"/>
    </row>
    <row r="107" spans="2:16" s="8" customFormat="1" ht="34.9" hidden="1" customHeight="1">
      <c r="B107" s="14">
        <v>40909</v>
      </c>
      <c r="C107" s="7">
        <v>2087.8000000000002</v>
      </c>
      <c r="D107" s="6">
        <v>1681</v>
      </c>
      <c r="E107" s="6">
        <v>1352.4</v>
      </c>
      <c r="F107" s="6">
        <v>234.6</v>
      </c>
      <c r="G107" s="6">
        <v>1516.2</v>
      </c>
      <c r="H107" s="6">
        <v>1284.5</v>
      </c>
      <c r="I107" s="6">
        <v>3170.5</v>
      </c>
      <c r="J107" s="6">
        <v>3212.4</v>
      </c>
      <c r="K107" s="6">
        <v>1861.4</v>
      </c>
      <c r="L107" s="6">
        <v>1920.1</v>
      </c>
      <c r="M107" s="6">
        <v>1845.9</v>
      </c>
      <c r="N107" s="6">
        <v>779.9</v>
      </c>
      <c r="O107" s="7">
        <v>1946.6</v>
      </c>
      <c r="P107" s="6">
        <f>O107/O105*100-100</f>
        <v>-2.4309558418124482</v>
      </c>
    </row>
    <row r="108" spans="2:16" s="8" customFormat="1" ht="34.9" hidden="1" customHeight="1">
      <c r="B108" s="15">
        <v>40940</v>
      </c>
      <c r="C108" s="11">
        <v>2128.1</v>
      </c>
      <c r="D108" s="10">
        <v>1531.9</v>
      </c>
      <c r="E108" s="10">
        <v>1355.6</v>
      </c>
      <c r="F108" s="10">
        <v>233.3</v>
      </c>
      <c r="G108" s="10">
        <v>1671.6</v>
      </c>
      <c r="H108" s="10">
        <v>1241.8</v>
      </c>
      <c r="I108" s="10">
        <v>3426.6</v>
      </c>
      <c r="J108" s="10">
        <v>3368</v>
      </c>
      <c r="K108" s="10">
        <v>1946.9</v>
      </c>
      <c r="L108" s="10">
        <v>1837.2</v>
      </c>
      <c r="M108" s="10">
        <v>1729.7</v>
      </c>
      <c r="N108" s="10">
        <v>868.4</v>
      </c>
      <c r="O108" s="11">
        <v>1959.8</v>
      </c>
      <c r="P108" s="10">
        <f>O108/O107*100-100</f>
        <v>0.67810541456898932</v>
      </c>
    </row>
    <row r="109" spans="2:16" s="8" customFormat="1" ht="34.9" hidden="1" customHeight="1">
      <c r="B109" s="14">
        <v>40969</v>
      </c>
      <c r="C109" s="7">
        <v>2142.6999999999998</v>
      </c>
      <c r="D109" s="6">
        <v>1541.9</v>
      </c>
      <c r="E109" s="6">
        <v>1439.7</v>
      </c>
      <c r="F109" s="6">
        <v>228.7</v>
      </c>
      <c r="G109" s="6">
        <v>1600</v>
      </c>
      <c r="H109" s="6">
        <v>1139.8</v>
      </c>
      <c r="I109" s="6">
        <v>3184.7</v>
      </c>
      <c r="J109" s="6">
        <v>3452.5</v>
      </c>
      <c r="K109" s="6">
        <v>1937.6</v>
      </c>
      <c r="L109" s="6">
        <v>1742.7</v>
      </c>
      <c r="M109" s="6">
        <v>1731.5</v>
      </c>
      <c r="N109" s="6">
        <v>1058.5999999999999</v>
      </c>
      <c r="O109" s="7">
        <v>1990.4</v>
      </c>
      <c r="P109" s="6">
        <f>O109/O108*100-100</f>
        <v>1.5613838146749686</v>
      </c>
    </row>
    <row r="110" spans="2:16" s="8" customFormat="1" ht="34.9" hidden="1" customHeight="1">
      <c r="B110" s="15">
        <v>41000</v>
      </c>
      <c r="C110" s="11">
        <v>2123.8000000000002</v>
      </c>
      <c r="D110" s="10">
        <v>1500.7</v>
      </c>
      <c r="E110" s="10">
        <v>1445.6</v>
      </c>
      <c r="F110" s="10">
        <v>209.6</v>
      </c>
      <c r="G110" s="10">
        <v>1327.7</v>
      </c>
      <c r="H110" s="10">
        <v>1160.5999999999999</v>
      </c>
      <c r="I110" s="10">
        <v>4069.4</v>
      </c>
      <c r="J110" s="10">
        <v>3317.3</v>
      </c>
      <c r="K110" s="10">
        <v>1940.3</v>
      </c>
      <c r="L110" s="10">
        <v>1763.1</v>
      </c>
      <c r="M110" s="10">
        <v>1729.6</v>
      </c>
      <c r="N110" s="10">
        <v>894.9</v>
      </c>
      <c r="O110" s="11">
        <v>1981.2</v>
      </c>
      <c r="P110" s="10">
        <f>O110/O109*100-100</f>
        <v>-0.46221864951768055</v>
      </c>
    </row>
    <row r="111" spans="2:16" s="8" customFormat="1" ht="34.9" hidden="1" customHeight="1">
      <c r="B111" s="14">
        <v>41030</v>
      </c>
      <c r="C111" s="7">
        <v>2046.5</v>
      </c>
      <c r="D111" s="6">
        <v>1478.7</v>
      </c>
      <c r="E111" s="6">
        <v>1347.5</v>
      </c>
      <c r="F111" s="6">
        <v>209.6</v>
      </c>
      <c r="G111" s="6">
        <v>1308.8</v>
      </c>
      <c r="H111" s="6">
        <v>1129.9000000000001</v>
      </c>
      <c r="I111" s="6">
        <v>4022.1</v>
      </c>
      <c r="J111" s="6">
        <v>3188.5</v>
      </c>
      <c r="K111" s="6">
        <v>1903.6</v>
      </c>
      <c r="L111" s="6">
        <v>1555.8</v>
      </c>
      <c r="M111" s="6">
        <v>1685.8</v>
      </c>
      <c r="N111" s="6">
        <v>743.4</v>
      </c>
      <c r="O111" s="7">
        <v>1874.5</v>
      </c>
      <c r="P111" s="6">
        <f t="shared" ref="P111:P114" si="5">O111/O110*100-100</f>
        <v>-5.3856248738138532</v>
      </c>
    </row>
    <row r="112" spans="2:16" s="8" customFormat="1" ht="34.9" hidden="1" customHeight="1">
      <c r="B112" s="15">
        <v>41061</v>
      </c>
      <c r="C112" s="11">
        <v>2047.4</v>
      </c>
      <c r="D112" s="10">
        <v>1451</v>
      </c>
      <c r="E112" s="10">
        <v>1373.1</v>
      </c>
      <c r="F112" s="10">
        <v>202</v>
      </c>
      <c r="G112" s="10">
        <v>1547.2</v>
      </c>
      <c r="H112" s="10">
        <v>1139.7</v>
      </c>
      <c r="I112" s="10">
        <v>3953.8</v>
      </c>
      <c r="J112" s="10">
        <v>3191.8</v>
      </c>
      <c r="K112" s="10">
        <v>1916.3</v>
      </c>
      <c r="L112" s="10">
        <v>1450.3</v>
      </c>
      <c r="M112" s="10">
        <v>1739.7</v>
      </c>
      <c r="N112" s="10">
        <v>808.8</v>
      </c>
      <c r="O112" s="11">
        <v>1882.1</v>
      </c>
      <c r="P112" s="10">
        <f t="shared" si="5"/>
        <v>0.40544145105360485</v>
      </c>
    </row>
    <row r="113" spans="2:16" s="8" customFormat="1" ht="34.9" hidden="1" customHeight="1">
      <c r="B113" s="14">
        <v>41091</v>
      </c>
      <c r="C113" s="7">
        <v>2041.4</v>
      </c>
      <c r="D113" s="6">
        <v>1448.3</v>
      </c>
      <c r="E113" s="6">
        <v>1393.5</v>
      </c>
      <c r="F113" s="6">
        <v>196.6</v>
      </c>
      <c r="G113" s="6">
        <v>1591.4</v>
      </c>
      <c r="H113" s="6">
        <v>1144.3</v>
      </c>
      <c r="I113" s="6">
        <v>4112.5</v>
      </c>
      <c r="J113" s="6">
        <v>3170.8</v>
      </c>
      <c r="K113" s="6">
        <v>1906.7</v>
      </c>
      <c r="L113" s="6">
        <v>1313.6</v>
      </c>
      <c r="M113" s="6">
        <v>1675.1</v>
      </c>
      <c r="N113" s="6">
        <v>1051.2</v>
      </c>
      <c r="O113" s="7">
        <v>1852.5</v>
      </c>
      <c r="P113" s="6">
        <f t="shared" si="5"/>
        <v>-1.5727113330853797</v>
      </c>
    </row>
    <row r="114" spans="2:16" s="8" customFormat="1" ht="34.9" hidden="1" customHeight="1">
      <c r="B114" s="15">
        <v>41122</v>
      </c>
      <c r="C114" s="11">
        <v>2150.6999999999998</v>
      </c>
      <c r="D114" s="10">
        <v>1379.5</v>
      </c>
      <c r="E114" s="10">
        <v>1413.7</v>
      </c>
      <c r="F114" s="10">
        <v>229.3</v>
      </c>
      <c r="G114" s="10">
        <v>1547.2</v>
      </c>
      <c r="H114" s="10">
        <v>1135.5</v>
      </c>
      <c r="I114" s="10">
        <v>4254.3999999999996</v>
      </c>
      <c r="J114" s="10">
        <v>3429.3</v>
      </c>
      <c r="K114" s="10">
        <v>1890.3</v>
      </c>
      <c r="L114" s="10">
        <v>1345.9</v>
      </c>
      <c r="M114" s="10">
        <v>1746.5</v>
      </c>
      <c r="N114" s="10">
        <v>1016.6</v>
      </c>
      <c r="O114" s="11">
        <v>1924</v>
      </c>
      <c r="P114" s="10">
        <f t="shared" si="5"/>
        <v>3.8596491228070136</v>
      </c>
    </row>
    <row r="115" spans="2:16" s="8" customFormat="1" ht="34.9" hidden="1" customHeight="1">
      <c r="B115" s="14">
        <v>41153</v>
      </c>
      <c r="C115" s="7">
        <v>2137.9</v>
      </c>
      <c r="D115" s="6">
        <v>1214.9000000000001</v>
      </c>
      <c r="E115" s="6">
        <v>1385.4</v>
      </c>
      <c r="F115" s="6">
        <v>240.9</v>
      </c>
      <c r="G115" s="6">
        <v>1547.2</v>
      </c>
      <c r="H115" s="6">
        <v>1112.0999999999999</v>
      </c>
      <c r="I115" s="6">
        <v>4100.8999999999996</v>
      </c>
      <c r="J115" s="6">
        <v>3475.7</v>
      </c>
      <c r="K115" s="6">
        <v>1885.2</v>
      </c>
      <c r="L115" s="6">
        <v>1317</v>
      </c>
      <c r="M115" s="6">
        <v>1705.6</v>
      </c>
      <c r="N115" s="6">
        <v>947.6</v>
      </c>
      <c r="O115" s="7">
        <v>1902.7</v>
      </c>
      <c r="P115" s="6">
        <f>O115/O114*100-100</f>
        <v>-1.1070686070686122</v>
      </c>
    </row>
    <row r="116" spans="2:16" s="8" customFormat="1" ht="34.9" hidden="1" customHeight="1">
      <c r="B116" s="15">
        <v>41183</v>
      </c>
      <c r="C116" s="11">
        <v>2136.6999999999998</v>
      </c>
      <c r="D116" s="10">
        <v>1207.7</v>
      </c>
      <c r="E116" s="10">
        <v>1382.9</v>
      </c>
      <c r="F116" s="10">
        <v>244.3</v>
      </c>
      <c r="G116" s="10">
        <v>1584.5</v>
      </c>
      <c r="H116" s="10">
        <v>1149.2</v>
      </c>
      <c r="I116" s="10">
        <v>4172</v>
      </c>
      <c r="J116" s="10">
        <v>3460.9</v>
      </c>
      <c r="K116" s="10">
        <v>1872.7</v>
      </c>
      <c r="L116" s="10">
        <v>1324.3</v>
      </c>
      <c r="M116" s="10">
        <v>1715.9</v>
      </c>
      <c r="N116" s="10">
        <v>936.7</v>
      </c>
      <c r="O116" s="11">
        <v>1917.9</v>
      </c>
      <c r="P116" s="10">
        <f>O116/O115*100-100</f>
        <v>0.79886477111472232</v>
      </c>
    </row>
    <row r="117" spans="2:16" s="8" customFormat="1" ht="34.9" hidden="1" customHeight="1">
      <c r="B117" s="14">
        <v>41214</v>
      </c>
      <c r="C117" s="7">
        <v>2178</v>
      </c>
      <c r="D117" s="6">
        <v>1144.8</v>
      </c>
      <c r="E117" s="6">
        <v>1394.2</v>
      </c>
      <c r="F117" s="6">
        <v>268.3</v>
      </c>
      <c r="G117" s="6">
        <v>1744.1</v>
      </c>
      <c r="H117" s="6">
        <v>1137.2</v>
      </c>
      <c r="I117" s="6">
        <v>5000.2</v>
      </c>
      <c r="J117" s="6">
        <v>3483.3</v>
      </c>
      <c r="K117" s="6">
        <v>1853.6</v>
      </c>
      <c r="L117" s="6">
        <v>1265.75</v>
      </c>
      <c r="M117" s="6">
        <v>1697.3</v>
      </c>
      <c r="N117" s="6">
        <v>1066.8</v>
      </c>
      <c r="O117" s="7">
        <v>1929.3</v>
      </c>
      <c r="P117" s="6">
        <f>O117/O116*100-100</f>
        <v>0.59440012513685758</v>
      </c>
    </row>
    <row r="118" spans="2:16" s="8" customFormat="1" ht="34.9" hidden="1" customHeight="1">
      <c r="B118" s="15">
        <v>41244</v>
      </c>
      <c r="C118" s="11">
        <v>2176.6</v>
      </c>
      <c r="D118" s="10">
        <v>1100.5999999999999</v>
      </c>
      <c r="E118" s="10">
        <v>1455.5</v>
      </c>
      <c r="F118" s="10">
        <v>227.4</v>
      </c>
      <c r="G118" s="10">
        <v>1918</v>
      </c>
      <c r="H118" s="10">
        <v>1120.9000000000001</v>
      </c>
      <c r="I118" s="10">
        <v>5220.7</v>
      </c>
      <c r="J118" s="10">
        <v>3391.5</v>
      </c>
      <c r="K118" s="10">
        <v>2004.2</v>
      </c>
      <c r="L118" s="10">
        <v>1344.6</v>
      </c>
      <c r="M118" s="10">
        <v>1921.6</v>
      </c>
      <c r="N118" s="10">
        <v>870.4</v>
      </c>
      <c r="O118" s="11">
        <v>1957.6</v>
      </c>
      <c r="P118" s="10">
        <f>O118/O117*100-100</f>
        <v>1.4668532628414397</v>
      </c>
    </row>
    <row r="119" spans="2:16" s="8" customFormat="1" ht="34.9" hidden="1" customHeight="1">
      <c r="B119" s="3">
        <v>2013</v>
      </c>
      <c r="C119" s="93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3"/>
      <c r="P119" s="94"/>
    </row>
    <row r="120" spans="2:16" s="8" customFormat="1" ht="34.9" hidden="1" customHeight="1">
      <c r="B120" s="14">
        <v>41275</v>
      </c>
      <c r="C120" s="7">
        <v>2275.6</v>
      </c>
      <c r="D120" s="6">
        <v>1092</v>
      </c>
      <c r="E120" s="6">
        <v>1461.8</v>
      </c>
      <c r="F120" s="6">
        <v>233.5</v>
      </c>
      <c r="G120" s="6">
        <v>1918</v>
      </c>
      <c r="H120" s="6">
        <v>1124.3</v>
      </c>
      <c r="I120" s="6">
        <v>7062.9</v>
      </c>
      <c r="J120" s="6">
        <v>3437.5</v>
      </c>
      <c r="K120" s="6">
        <v>2005.7</v>
      </c>
      <c r="L120" s="6">
        <v>1482.7</v>
      </c>
      <c r="M120" s="6">
        <v>1769.9</v>
      </c>
      <c r="N120" s="6">
        <v>902.5</v>
      </c>
      <c r="O120" s="7">
        <v>2045.7</v>
      </c>
      <c r="P120" s="6">
        <f>O120/O118*100-100</f>
        <v>4.500408663669802</v>
      </c>
    </row>
    <row r="121" spans="2:16" s="8" customFormat="1" ht="34.9" hidden="1" customHeight="1">
      <c r="B121" s="15">
        <v>41306</v>
      </c>
      <c r="C121" s="11">
        <v>2211.1</v>
      </c>
      <c r="D121" s="10">
        <v>1146.9000000000001</v>
      </c>
      <c r="E121" s="10">
        <v>1506.3</v>
      </c>
      <c r="F121" s="10">
        <v>218.2</v>
      </c>
      <c r="G121" s="10">
        <v>1924.9</v>
      </c>
      <c r="H121" s="10">
        <v>1091.2</v>
      </c>
      <c r="I121" s="10">
        <v>6400.3</v>
      </c>
      <c r="J121" s="10">
        <v>3289.5</v>
      </c>
      <c r="K121" s="10">
        <v>2041.4</v>
      </c>
      <c r="L121" s="10">
        <v>1876.7</v>
      </c>
      <c r="M121" s="10">
        <v>1767.9</v>
      </c>
      <c r="N121" s="10">
        <v>1223.8</v>
      </c>
      <c r="O121" s="11">
        <v>2042.4</v>
      </c>
      <c r="P121" s="10">
        <f>O121/O120*100-100</f>
        <v>-0.16131397565625605</v>
      </c>
    </row>
    <row r="122" spans="2:16" s="8" customFormat="1" ht="34.9" hidden="1" customHeight="1">
      <c r="B122" s="14">
        <v>41334</v>
      </c>
      <c r="C122" s="7">
        <v>2263.4</v>
      </c>
      <c r="D122" s="6">
        <v>1277.0999999999999</v>
      </c>
      <c r="E122" s="6">
        <v>1513.4</v>
      </c>
      <c r="F122" s="6">
        <v>196.8</v>
      </c>
      <c r="G122" s="6">
        <v>1938.7</v>
      </c>
      <c r="H122" s="6">
        <v>1066.3</v>
      </c>
      <c r="I122" s="6">
        <v>6727.1</v>
      </c>
      <c r="J122" s="6">
        <v>3361.1</v>
      </c>
      <c r="K122" s="6">
        <v>2024.5</v>
      </c>
      <c r="L122" s="6">
        <v>1627.2</v>
      </c>
      <c r="M122" s="6">
        <v>1788.8</v>
      </c>
      <c r="N122" s="6">
        <v>1749.1</v>
      </c>
      <c r="O122" s="7">
        <v>2101.4</v>
      </c>
      <c r="P122" s="6">
        <f>O122/O121*100-100</f>
        <v>2.8887583235409409</v>
      </c>
    </row>
    <row r="123" spans="2:16" s="8" customFormat="1" ht="34.9" hidden="1" customHeight="1">
      <c r="B123" s="15">
        <v>41365</v>
      </c>
      <c r="C123" s="11">
        <v>2190.4</v>
      </c>
      <c r="D123" s="10">
        <v>1239.8</v>
      </c>
      <c r="E123" s="10">
        <v>1457.7</v>
      </c>
      <c r="F123" s="10">
        <v>181.5</v>
      </c>
      <c r="G123" s="10">
        <v>1938.7</v>
      </c>
      <c r="H123" s="10">
        <v>1095.5999999999999</v>
      </c>
      <c r="I123" s="10">
        <v>6724.2</v>
      </c>
      <c r="J123" s="10">
        <v>3242.2</v>
      </c>
      <c r="K123" s="10">
        <v>1869.5</v>
      </c>
      <c r="L123" s="10">
        <v>1497.1</v>
      </c>
      <c r="M123" s="10">
        <v>1740.4</v>
      </c>
      <c r="N123" s="10">
        <v>1691.4</v>
      </c>
      <c r="O123" s="11">
        <v>1998.1</v>
      </c>
      <c r="P123" s="10">
        <f>O123/O122*100-100</f>
        <v>-4.915770438755132</v>
      </c>
    </row>
    <row r="124" spans="2:16" s="8" customFormat="1" ht="34.9" hidden="1" customHeight="1">
      <c r="B124" s="14">
        <v>41395</v>
      </c>
      <c r="C124" s="7">
        <v>2214.9</v>
      </c>
      <c r="D124" s="6">
        <v>1168.3</v>
      </c>
      <c r="E124" s="6">
        <v>1520.9</v>
      </c>
      <c r="F124" s="6">
        <v>175.3</v>
      </c>
      <c r="G124" s="6">
        <v>2186.9</v>
      </c>
      <c r="H124" s="6">
        <v>1138.9000000000001</v>
      </c>
      <c r="I124" s="6">
        <v>6746.7</v>
      </c>
      <c r="J124" s="6">
        <v>3311.5</v>
      </c>
      <c r="K124" s="6">
        <v>1881.6</v>
      </c>
      <c r="L124" s="6">
        <v>1518.8</v>
      </c>
      <c r="M124" s="6">
        <v>1667.7</v>
      </c>
      <c r="N124" s="6">
        <v>1590.1</v>
      </c>
      <c r="O124" s="7">
        <v>2017.5</v>
      </c>
      <c r="P124" s="6">
        <f t="shared" ref="P124:P127" si="6">O124/O123*100-100</f>
        <v>0.97092237625744815</v>
      </c>
    </row>
    <row r="125" spans="2:16" s="8" customFormat="1" ht="34.9" hidden="1" customHeight="1">
      <c r="B125" s="15">
        <v>41426</v>
      </c>
      <c r="C125" s="11">
        <v>2135.5</v>
      </c>
      <c r="D125" s="10">
        <v>1121</v>
      </c>
      <c r="E125" s="10">
        <v>1510.9</v>
      </c>
      <c r="F125" s="10">
        <v>169.2</v>
      </c>
      <c r="G125" s="10">
        <v>2109.3000000000002</v>
      </c>
      <c r="H125" s="10">
        <v>1159.5</v>
      </c>
      <c r="I125" s="10">
        <v>7162.1</v>
      </c>
      <c r="J125" s="10">
        <v>3079.5</v>
      </c>
      <c r="K125" s="10">
        <v>1977.2</v>
      </c>
      <c r="L125" s="10">
        <v>1491.5</v>
      </c>
      <c r="M125" s="10">
        <v>1693.8</v>
      </c>
      <c r="N125" s="10">
        <v>1395.7</v>
      </c>
      <c r="O125" s="11">
        <v>1980.5</v>
      </c>
      <c r="P125" s="10">
        <f t="shared" si="6"/>
        <v>-1.833952912019825</v>
      </c>
    </row>
    <row r="126" spans="2:16" s="8" customFormat="1" ht="34.9" hidden="1" customHeight="1">
      <c r="B126" s="14">
        <v>41456</v>
      </c>
      <c r="C126" s="7">
        <v>2095.6</v>
      </c>
      <c r="D126" s="6">
        <v>1079.4000000000001</v>
      </c>
      <c r="E126" s="6">
        <v>1502.9</v>
      </c>
      <c r="F126" s="6">
        <v>175.9</v>
      </c>
      <c r="G126" s="6">
        <v>2126.3000000000002</v>
      </c>
      <c r="H126" s="6">
        <v>1165.2</v>
      </c>
      <c r="I126" s="6">
        <v>7759.6</v>
      </c>
      <c r="J126" s="6">
        <v>2963.7</v>
      </c>
      <c r="K126" s="6">
        <v>1894.1</v>
      </c>
      <c r="L126" s="6">
        <v>1409.3</v>
      </c>
      <c r="M126" s="6">
        <v>1621.1</v>
      </c>
      <c r="N126" s="6">
        <v>1329.5</v>
      </c>
      <c r="O126" s="7">
        <v>1956.2</v>
      </c>
      <c r="P126" s="6">
        <f t="shared" si="6"/>
        <v>-1.2269628881595622</v>
      </c>
    </row>
    <row r="127" spans="2:16" s="8" customFormat="1" ht="34.9" hidden="1" customHeight="1">
      <c r="B127" s="15">
        <v>41487</v>
      </c>
      <c r="C127" s="11">
        <v>1929.4</v>
      </c>
      <c r="D127" s="10">
        <v>1082.4000000000001</v>
      </c>
      <c r="E127" s="10">
        <v>1484.3</v>
      </c>
      <c r="F127" s="10">
        <v>175.9</v>
      </c>
      <c r="G127" s="10">
        <v>2109.3000000000002</v>
      </c>
      <c r="H127" s="10">
        <v>1143</v>
      </c>
      <c r="I127" s="10">
        <v>7978.1</v>
      </c>
      <c r="J127" s="10">
        <v>2564.6999999999998</v>
      </c>
      <c r="K127" s="10">
        <v>1821</v>
      </c>
      <c r="L127" s="10">
        <v>1335.7</v>
      </c>
      <c r="M127" s="10">
        <v>1620.9</v>
      </c>
      <c r="N127" s="10">
        <v>1278.2</v>
      </c>
      <c r="O127" s="11">
        <v>1875</v>
      </c>
      <c r="P127" s="10">
        <f t="shared" si="6"/>
        <v>-4.1509048154585457</v>
      </c>
    </row>
    <row r="128" spans="2:16" s="8" customFormat="1" ht="34.9" hidden="1" customHeight="1">
      <c r="B128" s="14">
        <v>41518</v>
      </c>
      <c r="C128" s="7">
        <v>1723</v>
      </c>
      <c r="D128" s="6">
        <v>1082.8</v>
      </c>
      <c r="E128" s="6">
        <v>1478.4</v>
      </c>
      <c r="F128" s="6">
        <v>162</v>
      </c>
      <c r="G128" s="6">
        <v>2109.3000000000002</v>
      </c>
      <c r="H128" s="6">
        <v>1149.5999999999999</v>
      </c>
      <c r="I128" s="6">
        <v>8408.5</v>
      </c>
      <c r="J128" s="6">
        <v>2000</v>
      </c>
      <c r="K128" s="6">
        <v>1867</v>
      </c>
      <c r="L128" s="6">
        <v>1388.8</v>
      </c>
      <c r="M128" s="6">
        <v>1670.1</v>
      </c>
      <c r="N128" s="6">
        <v>1237.4000000000001</v>
      </c>
      <c r="O128" s="7">
        <v>1850.6</v>
      </c>
      <c r="P128" s="6">
        <f>O128/O127*100-100</f>
        <v>-1.3013333333333463</v>
      </c>
    </row>
    <row r="129" spans="2:16" s="8" customFormat="1" ht="34.9" hidden="1" customHeight="1">
      <c r="B129" s="15">
        <v>41548</v>
      </c>
      <c r="C129" s="11">
        <v>1921.34</v>
      </c>
      <c r="D129" s="10">
        <v>1088.76</v>
      </c>
      <c r="E129" s="10">
        <v>1573.42</v>
      </c>
      <c r="F129" s="10">
        <v>114</v>
      </c>
      <c r="G129" s="10">
        <v>2160.36</v>
      </c>
      <c r="H129" s="10">
        <v>1156.5</v>
      </c>
      <c r="I129" s="10">
        <v>9427.56</v>
      </c>
      <c r="J129" s="10">
        <v>2304.14</v>
      </c>
      <c r="K129" s="10">
        <v>2021.62</v>
      </c>
      <c r="L129" s="10">
        <v>1476.37</v>
      </c>
      <c r="M129" s="10">
        <v>1676.68</v>
      </c>
      <c r="N129" s="10">
        <v>1171.79</v>
      </c>
      <c r="O129" s="11">
        <v>1969.34</v>
      </c>
      <c r="P129" s="10">
        <f>O129/O128*100-100</f>
        <v>6.41629741705394</v>
      </c>
    </row>
    <row r="130" spans="2:16" s="8" customFormat="1" ht="34.9" hidden="1" customHeight="1">
      <c r="B130" s="14">
        <v>41579</v>
      </c>
      <c r="C130" s="7">
        <v>1952.26</v>
      </c>
      <c r="D130" s="6">
        <v>1311.67</v>
      </c>
      <c r="E130" s="6">
        <v>1623</v>
      </c>
      <c r="F130" s="6">
        <v>115.33</v>
      </c>
      <c r="G130" s="6">
        <v>2160.36</v>
      </c>
      <c r="H130" s="6">
        <v>1167.51</v>
      </c>
      <c r="I130" s="6">
        <v>9366.9</v>
      </c>
      <c r="J130" s="6">
        <v>2310.5300000000002</v>
      </c>
      <c r="K130" s="6">
        <v>2063.52</v>
      </c>
      <c r="L130" s="6">
        <v>1528.94</v>
      </c>
      <c r="M130" s="6">
        <v>1770.56</v>
      </c>
      <c r="N130" s="6">
        <v>1115.55</v>
      </c>
      <c r="O130" s="7">
        <v>2022.63</v>
      </c>
      <c r="P130" s="6">
        <f>O130/O129*100-100</f>
        <v>2.7059827150212925</v>
      </c>
    </row>
    <row r="131" spans="2:16" s="8" customFormat="1" ht="34.9" hidden="1" customHeight="1">
      <c r="B131" s="15">
        <v>41609</v>
      </c>
      <c r="C131" s="11">
        <v>1964.9</v>
      </c>
      <c r="D131" s="10">
        <v>1341.3</v>
      </c>
      <c r="E131" s="10">
        <v>1786.4</v>
      </c>
      <c r="F131" s="10">
        <v>122.8</v>
      </c>
      <c r="G131" s="10">
        <v>2118.4</v>
      </c>
      <c r="H131" s="10">
        <v>1161.5</v>
      </c>
      <c r="I131" s="10">
        <v>9363.9</v>
      </c>
      <c r="J131" s="10">
        <v>2247.1999999999998</v>
      </c>
      <c r="K131" s="10">
        <v>2233.6</v>
      </c>
      <c r="L131" s="10">
        <v>1921.2</v>
      </c>
      <c r="M131" s="10">
        <v>1953.4</v>
      </c>
      <c r="N131" s="10">
        <v>993.7</v>
      </c>
      <c r="O131" s="11">
        <v>2065.8000000000002</v>
      </c>
      <c r="P131" s="10">
        <f>O131/O130*100-100</f>
        <v>2.1343498316548306</v>
      </c>
    </row>
    <row r="132" spans="2:16" s="8" customFormat="1" ht="34.9" hidden="1" customHeight="1">
      <c r="B132" s="3">
        <v>2014</v>
      </c>
      <c r="C132" s="93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3"/>
      <c r="P132" s="94"/>
    </row>
    <row r="133" spans="2:16" s="8" customFormat="1" ht="34.9" hidden="1" customHeight="1">
      <c r="B133" s="14">
        <v>41640</v>
      </c>
      <c r="C133" s="7">
        <v>1996.2</v>
      </c>
      <c r="D133" s="6">
        <v>1386.9</v>
      </c>
      <c r="E133" s="6">
        <v>1881.9</v>
      </c>
      <c r="F133" s="6">
        <v>158.9</v>
      </c>
      <c r="G133" s="6">
        <v>2202.3000000000002</v>
      </c>
      <c r="H133" s="6">
        <v>1219.0999999999999</v>
      </c>
      <c r="I133" s="6">
        <v>10080.5</v>
      </c>
      <c r="J133" s="6">
        <v>2224.4</v>
      </c>
      <c r="K133" s="6">
        <v>2154.9</v>
      </c>
      <c r="L133" s="6">
        <v>2020.8</v>
      </c>
      <c r="M133" s="6">
        <v>1981.1</v>
      </c>
      <c r="N133" s="6">
        <v>1265.5</v>
      </c>
      <c r="O133" s="7">
        <v>2207</v>
      </c>
      <c r="P133" s="6">
        <f>O133/O131*100-100</f>
        <v>6.8351244070093742</v>
      </c>
    </row>
    <row r="134" spans="2:16" s="8" customFormat="1" ht="34.9" hidden="1" customHeight="1">
      <c r="B134" s="15">
        <v>41671</v>
      </c>
      <c r="C134" s="11">
        <v>1874.11</v>
      </c>
      <c r="D134" s="10">
        <v>1414.19</v>
      </c>
      <c r="E134" s="10">
        <v>1840.54</v>
      </c>
      <c r="F134" s="10">
        <v>142.22</v>
      </c>
      <c r="G134" s="10">
        <v>2202.3000000000002</v>
      </c>
      <c r="H134" s="10">
        <v>1196</v>
      </c>
      <c r="I134" s="10">
        <v>9253.61</v>
      </c>
      <c r="J134" s="10">
        <v>2057.69</v>
      </c>
      <c r="K134" s="10">
        <v>2109.5300000000002</v>
      </c>
      <c r="L134" s="10">
        <v>2023.88</v>
      </c>
      <c r="M134" s="10">
        <v>1862.16</v>
      </c>
      <c r="N134" s="10">
        <v>1059.3</v>
      </c>
      <c r="O134" s="11">
        <v>2178.1999999999998</v>
      </c>
      <c r="P134" s="10">
        <f>O134/O133*100-100</f>
        <v>-1.3049388309923131</v>
      </c>
    </row>
    <row r="135" spans="2:16" s="8" customFormat="1" ht="34.9" hidden="1" customHeight="1">
      <c r="B135" s="14">
        <v>41699</v>
      </c>
      <c r="C135" s="7">
        <v>1875.8</v>
      </c>
      <c r="D135" s="6">
        <v>1406.5</v>
      </c>
      <c r="E135" s="6">
        <v>1860.6</v>
      </c>
      <c r="F135" s="6">
        <v>147.80000000000001</v>
      </c>
      <c r="G135" s="6">
        <v>2202.3000000000002</v>
      </c>
      <c r="H135" s="6">
        <v>1178.0999999999999</v>
      </c>
      <c r="I135" s="6">
        <v>8791.7999999999993</v>
      </c>
      <c r="J135" s="6">
        <v>2118.1</v>
      </c>
      <c r="K135" s="6">
        <v>2024.8</v>
      </c>
      <c r="L135" s="6">
        <v>1869</v>
      </c>
      <c r="M135" s="6">
        <v>1870.2</v>
      </c>
      <c r="N135" s="6">
        <v>1124.9000000000001</v>
      </c>
      <c r="O135" s="7">
        <v>2148.9</v>
      </c>
      <c r="P135" s="6">
        <f>O135/O134*100-100</f>
        <v>-1.3451473693875613</v>
      </c>
    </row>
    <row r="136" spans="2:16" s="8" customFormat="1" ht="34.9" hidden="1" customHeight="1">
      <c r="B136" s="15">
        <v>41730</v>
      </c>
      <c r="C136" s="11">
        <v>1904.6</v>
      </c>
      <c r="D136" s="10">
        <v>1468.4</v>
      </c>
      <c r="E136" s="10">
        <v>1895.56</v>
      </c>
      <c r="F136" s="10">
        <v>136.66</v>
      </c>
      <c r="G136" s="10">
        <v>2097.4299999999998</v>
      </c>
      <c r="H136" s="10">
        <v>1249.1400000000001</v>
      </c>
      <c r="I136" s="10">
        <v>8888.0400000000009</v>
      </c>
      <c r="J136" s="10">
        <v>2163.88</v>
      </c>
      <c r="K136" s="10">
        <v>2023.5</v>
      </c>
      <c r="L136" s="10">
        <v>1830.81</v>
      </c>
      <c r="M136" s="10">
        <v>1811.3</v>
      </c>
      <c r="N136" s="10">
        <v>1021.8</v>
      </c>
      <c r="O136" s="11">
        <v>2124.15</v>
      </c>
      <c r="P136" s="10">
        <f>O136/O135*100-100</f>
        <v>-1.1517520591930719</v>
      </c>
    </row>
    <row r="137" spans="2:16" s="8" customFormat="1" ht="34.9" hidden="1" customHeight="1">
      <c r="B137" s="14">
        <v>41760</v>
      </c>
      <c r="C137" s="7">
        <v>1856.5</v>
      </c>
      <c r="D137" s="6">
        <v>1536.4</v>
      </c>
      <c r="E137" s="6">
        <v>1941.1</v>
      </c>
      <c r="F137" s="6">
        <v>125.5</v>
      </c>
      <c r="G137" s="6">
        <v>2118.4</v>
      </c>
      <c r="H137" s="6">
        <v>1230.8</v>
      </c>
      <c r="I137" s="6">
        <v>9118.9</v>
      </c>
      <c r="J137" s="6">
        <v>2029.4</v>
      </c>
      <c r="K137" s="6">
        <v>1966.5</v>
      </c>
      <c r="L137" s="6">
        <v>1714.3</v>
      </c>
      <c r="M137" s="6">
        <v>1878.5</v>
      </c>
      <c r="N137" s="6">
        <v>1143.7</v>
      </c>
      <c r="O137" s="7">
        <v>2130.9</v>
      </c>
      <c r="P137" s="6">
        <f t="shared" ref="P137:P140" si="7">O137/O136*100-100</f>
        <v>0.31777416849092788</v>
      </c>
    </row>
    <row r="138" spans="2:16" s="8" customFormat="1" ht="34.9" hidden="1" customHeight="1">
      <c r="B138" s="15">
        <v>41791</v>
      </c>
      <c r="C138" s="11">
        <v>1837.3971241893098</v>
      </c>
      <c r="D138" s="10">
        <v>1738.5093117878671</v>
      </c>
      <c r="E138" s="10">
        <v>1909.5861977961117</v>
      </c>
      <c r="F138" s="10">
        <v>114.40512848903413</v>
      </c>
      <c r="G138" s="10">
        <v>2349.1243469670799</v>
      </c>
      <c r="H138" s="10">
        <v>1253.3715610227302</v>
      </c>
      <c r="I138" s="10">
        <v>8801.8635241966531</v>
      </c>
      <c r="J138" s="10">
        <v>1981.2899939314109</v>
      </c>
      <c r="K138" s="10">
        <v>2046.9502057994816</v>
      </c>
      <c r="L138" s="10">
        <v>1666.6395191610752</v>
      </c>
      <c r="M138" s="10">
        <v>1833.2630020225158</v>
      </c>
      <c r="N138" s="10">
        <v>1134.2938824536034</v>
      </c>
      <c r="O138" s="11">
        <v>2113.0334731859839</v>
      </c>
      <c r="P138" s="10">
        <f t="shared" si="7"/>
        <v>-0.83844980121151025</v>
      </c>
    </row>
    <row r="139" spans="2:16" s="8" customFormat="1" ht="34.9" hidden="1" customHeight="1">
      <c r="B139" s="14">
        <v>41821</v>
      </c>
      <c r="C139" s="7">
        <v>1888.7906941020799</v>
      </c>
      <c r="D139" s="6">
        <v>1936.7090173242921</v>
      </c>
      <c r="E139" s="6">
        <v>1956.9957208261828</v>
      </c>
      <c r="F139" s="6">
        <v>101.78269706095614</v>
      </c>
      <c r="G139" s="6">
        <v>2286.2013733876042</v>
      </c>
      <c r="H139" s="6">
        <v>1270.8525998648845</v>
      </c>
      <c r="I139" s="6">
        <v>8765.1946548102624</v>
      </c>
      <c r="J139" s="6">
        <v>2079.5208689833212</v>
      </c>
      <c r="K139" s="6">
        <v>1980.04244608777</v>
      </c>
      <c r="L139" s="6">
        <v>1675.7096186995234</v>
      </c>
      <c r="M139" s="6">
        <v>1872.1675971003797</v>
      </c>
      <c r="N139" s="6">
        <v>1171.7912008818216</v>
      </c>
      <c r="O139" s="7">
        <v>2136.6</v>
      </c>
      <c r="P139" s="6">
        <f t="shared" si="7"/>
        <v>1.1152935868300631</v>
      </c>
    </row>
    <row r="140" spans="2:16" s="8" customFormat="1" ht="34.9" hidden="1" customHeight="1">
      <c r="B140" s="15">
        <v>41852</v>
      </c>
      <c r="C140" s="11">
        <v>1902.0811662860585</v>
      </c>
      <c r="D140" s="10">
        <v>2333.3316690547395</v>
      </c>
      <c r="E140" s="10">
        <v>1946.9096724129824</v>
      </c>
      <c r="F140" s="10">
        <v>102.47119332066949</v>
      </c>
      <c r="G140" s="10">
        <v>2307.175697914096</v>
      </c>
      <c r="H140" s="10">
        <v>1348.2247431207622</v>
      </c>
      <c r="I140" s="10">
        <v>8651.3603733634336</v>
      </c>
      <c r="J140" s="10">
        <v>2014.8822686249293</v>
      </c>
      <c r="K140" s="10">
        <v>1940.0540596529331</v>
      </c>
      <c r="L140" s="10">
        <v>1550.7330305096286</v>
      </c>
      <c r="M140" s="10">
        <v>1849.4874499955195</v>
      </c>
      <c r="N140" s="10">
        <v>1040.5505863830576</v>
      </c>
      <c r="O140" s="11">
        <v>2131.908789786014</v>
      </c>
      <c r="P140" s="10">
        <f t="shared" si="7"/>
        <v>-0.21956427099063092</v>
      </c>
    </row>
    <row r="141" spans="2:16" s="8" customFormat="1" ht="34.9" hidden="1" customHeight="1">
      <c r="B141" s="14">
        <v>41883</v>
      </c>
      <c r="C141" s="7">
        <v>1852.1</v>
      </c>
      <c r="D141" s="6">
        <v>2230.1</v>
      </c>
      <c r="E141" s="6">
        <v>1935.2</v>
      </c>
      <c r="F141" s="6">
        <v>97.6</v>
      </c>
      <c r="G141" s="6">
        <v>2475</v>
      </c>
      <c r="H141" s="6">
        <v>1322</v>
      </c>
      <c r="I141" s="6">
        <v>8181.4</v>
      </c>
      <c r="J141" s="6">
        <v>1951.4</v>
      </c>
      <c r="K141" s="6">
        <v>2012.4</v>
      </c>
      <c r="L141" s="6">
        <v>1628.6</v>
      </c>
      <c r="M141" s="6">
        <v>1872.7</v>
      </c>
      <c r="N141" s="6">
        <v>881.2</v>
      </c>
      <c r="O141" s="7">
        <v>2115</v>
      </c>
      <c r="P141" s="6">
        <f>O141/O140*100-100</f>
        <v>-0.79312913699797605</v>
      </c>
    </row>
    <row r="142" spans="2:16" s="8" customFormat="1" ht="34.9" hidden="1" customHeight="1">
      <c r="B142" s="15">
        <v>41913</v>
      </c>
      <c r="C142" s="11">
        <v>1827.3</v>
      </c>
      <c r="D142" s="10">
        <v>2212.9</v>
      </c>
      <c r="E142" s="10">
        <v>1928.5</v>
      </c>
      <c r="F142" s="10">
        <v>102</v>
      </c>
      <c r="G142" s="10">
        <v>2726.7</v>
      </c>
      <c r="H142" s="10">
        <v>1353.1</v>
      </c>
      <c r="I142" s="10">
        <v>7720.9</v>
      </c>
      <c r="J142" s="10">
        <v>1944.9</v>
      </c>
      <c r="K142" s="10">
        <v>2013.8</v>
      </c>
      <c r="L142" s="10">
        <v>1703.1</v>
      </c>
      <c r="M142" s="10">
        <v>1859.1</v>
      </c>
      <c r="N142" s="10">
        <v>890.6</v>
      </c>
      <c r="O142" s="11">
        <v>2106.1</v>
      </c>
      <c r="P142" s="10">
        <f>O142/O141*100-100</f>
        <v>-0.42080378250591366</v>
      </c>
    </row>
    <row r="143" spans="2:16" s="8" customFormat="1" ht="34.9" hidden="1" customHeight="1">
      <c r="B143" s="14">
        <v>41944</v>
      </c>
      <c r="C143" s="7">
        <v>1785.6</v>
      </c>
      <c r="D143" s="6">
        <v>2103.3000000000002</v>
      </c>
      <c r="E143" s="6">
        <v>1985.4</v>
      </c>
      <c r="F143" s="6">
        <v>92.7</v>
      </c>
      <c r="G143" s="6">
        <v>2516.9</v>
      </c>
      <c r="H143" s="6">
        <v>1363.6</v>
      </c>
      <c r="I143" s="6">
        <v>7435.5</v>
      </c>
      <c r="J143" s="6">
        <v>1888.9</v>
      </c>
      <c r="K143" s="6">
        <v>1987.4</v>
      </c>
      <c r="L143" s="6">
        <v>1647.9</v>
      </c>
      <c r="M143" s="6">
        <v>1865.8</v>
      </c>
      <c r="N143" s="6">
        <v>1003.1</v>
      </c>
      <c r="O143" s="7">
        <v>2132.5</v>
      </c>
      <c r="P143" s="6">
        <f>O143/O142*100-100</f>
        <v>1.253501733061114</v>
      </c>
    </row>
    <row r="144" spans="2:16" s="8" customFormat="1" ht="34.9" hidden="1" customHeight="1">
      <c r="B144" s="15">
        <v>41974</v>
      </c>
      <c r="C144" s="11">
        <v>1852</v>
      </c>
      <c r="D144" s="10">
        <v>2236.8000000000002</v>
      </c>
      <c r="E144" s="10">
        <v>2065.5</v>
      </c>
      <c r="F144" s="10">
        <v>94.7</v>
      </c>
      <c r="G144" s="10">
        <v>3062.3</v>
      </c>
      <c r="H144" s="10">
        <v>1349.9</v>
      </c>
      <c r="I144" s="10">
        <v>7732</v>
      </c>
      <c r="J144" s="10">
        <v>1960.1</v>
      </c>
      <c r="K144" s="10">
        <v>2044.1</v>
      </c>
      <c r="L144" s="10">
        <v>1847.7</v>
      </c>
      <c r="M144" s="10">
        <v>1828.9</v>
      </c>
      <c r="N144" s="10">
        <v>1096.8</v>
      </c>
      <c r="O144" s="11">
        <v>2165.5</v>
      </c>
      <c r="P144" s="10">
        <f>O144/O143*100-100</f>
        <v>1.5474794841735076</v>
      </c>
    </row>
    <row r="145" spans="2:16" s="8" customFormat="1" ht="34.9" hidden="1" customHeight="1">
      <c r="B145" s="3">
        <v>2015</v>
      </c>
      <c r="C145" s="93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3"/>
      <c r="P145" s="94"/>
    </row>
    <row r="146" spans="2:16" s="8" customFormat="1" ht="34.9" hidden="1" customHeight="1">
      <c r="B146" s="14">
        <v>42005</v>
      </c>
      <c r="C146" s="7">
        <v>1840</v>
      </c>
      <c r="D146" s="6">
        <v>2078.5</v>
      </c>
      <c r="E146" s="6">
        <v>2057.6</v>
      </c>
      <c r="F146" s="6">
        <v>90.6</v>
      </c>
      <c r="G146" s="6">
        <v>3146.2</v>
      </c>
      <c r="H146" s="6">
        <v>1306.7</v>
      </c>
      <c r="I146" s="6">
        <v>8145</v>
      </c>
      <c r="J146" s="6">
        <v>1917.7</v>
      </c>
      <c r="K146" s="6">
        <v>2005.5</v>
      </c>
      <c r="L146" s="6">
        <v>1866.9</v>
      </c>
      <c r="M146" s="6">
        <v>1887.1</v>
      </c>
      <c r="N146" s="6">
        <v>1096.8</v>
      </c>
      <c r="O146" s="7">
        <v>2169.6</v>
      </c>
      <c r="P146" s="6">
        <f>O146/O144*100-100</f>
        <v>0.18933271761716242</v>
      </c>
    </row>
    <row r="147" spans="2:16" s="8" customFormat="1" ht="34.9" hidden="1" customHeight="1">
      <c r="B147" s="15">
        <v>42036</v>
      </c>
      <c r="C147" s="11">
        <v>1827.7</v>
      </c>
      <c r="D147" s="10">
        <v>2045.6</v>
      </c>
      <c r="E147" s="10">
        <v>1931.6</v>
      </c>
      <c r="F147" s="10">
        <v>94</v>
      </c>
      <c r="G147" s="10">
        <v>3146.2</v>
      </c>
      <c r="H147" s="10">
        <v>1269.8</v>
      </c>
      <c r="I147" s="10">
        <v>8294</v>
      </c>
      <c r="J147" s="10">
        <v>1892.4</v>
      </c>
      <c r="K147" s="10">
        <v>2018.5</v>
      </c>
      <c r="L147" s="10">
        <v>1865.1</v>
      </c>
      <c r="M147" s="10">
        <v>1911.4</v>
      </c>
      <c r="N147" s="10">
        <v>1303</v>
      </c>
      <c r="O147" s="11">
        <v>2195.5</v>
      </c>
      <c r="P147" s="10">
        <f>O147/O146*100-100</f>
        <v>1.1937684365781678</v>
      </c>
    </row>
    <row r="148" spans="2:16" s="8" customFormat="1" ht="34.9" hidden="1" customHeight="1">
      <c r="B148" s="14">
        <v>42064</v>
      </c>
      <c r="C148" s="7">
        <v>1771.5</v>
      </c>
      <c r="D148" s="6">
        <v>2015.8</v>
      </c>
      <c r="E148" s="6">
        <v>1838.8</v>
      </c>
      <c r="F148" s="6">
        <v>86.5</v>
      </c>
      <c r="G148" s="6">
        <v>3188.1</v>
      </c>
      <c r="H148" s="6">
        <v>1314.4</v>
      </c>
      <c r="I148" s="6">
        <v>8139.6</v>
      </c>
      <c r="J148" s="6">
        <v>1774.8</v>
      </c>
      <c r="K148" s="6">
        <v>1975.5</v>
      </c>
      <c r="L148" s="6">
        <v>1770.6</v>
      </c>
      <c r="M148" s="6">
        <v>1969</v>
      </c>
      <c r="N148" s="6">
        <v>1321.8</v>
      </c>
      <c r="O148" s="7">
        <v>2135.4</v>
      </c>
      <c r="P148" s="6">
        <f>O148/O147*100-100</f>
        <v>-2.7374174447733992</v>
      </c>
    </row>
    <row r="149" spans="2:16" s="8" customFormat="1" ht="34.9" hidden="1" customHeight="1">
      <c r="B149" s="15">
        <v>42095</v>
      </c>
      <c r="C149" s="11">
        <v>1818.6</v>
      </c>
      <c r="D149" s="10">
        <v>2261.9</v>
      </c>
      <c r="E149" s="10">
        <v>1778.4</v>
      </c>
      <c r="F149" s="10">
        <v>83.4</v>
      </c>
      <c r="G149" s="10">
        <v>3355.9</v>
      </c>
      <c r="H149" s="10">
        <v>1417.5</v>
      </c>
      <c r="I149" s="10">
        <v>8890.5</v>
      </c>
      <c r="J149" s="10">
        <v>1755.4</v>
      </c>
      <c r="K149" s="10">
        <v>1915.3</v>
      </c>
      <c r="L149" s="10">
        <v>1777.8</v>
      </c>
      <c r="M149" s="10">
        <v>1828.9</v>
      </c>
      <c r="N149" s="10">
        <v>1237.4000000000001</v>
      </c>
      <c r="O149" s="11">
        <v>2115.5</v>
      </c>
      <c r="P149" s="10">
        <f>O149/O148*100-100</f>
        <v>-0.93190971246605159</v>
      </c>
    </row>
    <row r="150" spans="2:16" s="8" customFormat="1" ht="34.9" hidden="1" customHeight="1">
      <c r="B150" s="14">
        <v>42125</v>
      </c>
      <c r="C150" s="7">
        <v>1880.8</v>
      </c>
      <c r="D150" s="6">
        <v>2140.4</v>
      </c>
      <c r="E150" s="6">
        <v>1675.9</v>
      </c>
      <c r="F150" s="6">
        <v>76.7</v>
      </c>
      <c r="G150" s="6">
        <v>3272</v>
      </c>
      <c r="H150" s="6">
        <v>1480.2</v>
      </c>
      <c r="I150" s="6">
        <v>9159.1</v>
      </c>
      <c r="J150" s="6">
        <v>1949.2</v>
      </c>
      <c r="K150" s="6">
        <v>1776.3</v>
      </c>
      <c r="L150" s="6">
        <v>1680.3</v>
      </c>
      <c r="M150" s="6">
        <v>1913.8</v>
      </c>
      <c r="N150" s="6">
        <v>1209.3</v>
      </c>
      <c r="O150" s="7">
        <v>2183.6</v>
      </c>
      <c r="P150" s="6">
        <f t="shared" ref="P150:P153" si="8">O150/O149*100-100</f>
        <v>3.2190971401559807</v>
      </c>
    </row>
    <row r="151" spans="2:16" s="8" customFormat="1" ht="34.9" hidden="1" customHeight="1">
      <c r="B151" s="15">
        <v>42156</v>
      </c>
      <c r="C151" s="11">
        <v>1855.5</v>
      </c>
      <c r="D151" s="10">
        <v>2153.1</v>
      </c>
      <c r="E151" s="10">
        <v>1729.9</v>
      </c>
      <c r="F151" s="10">
        <v>70.5</v>
      </c>
      <c r="G151" s="10">
        <v>3334.9</v>
      </c>
      <c r="H151" s="10">
        <v>1504.9</v>
      </c>
      <c r="I151" s="10">
        <v>8908.5</v>
      </c>
      <c r="J151" s="10">
        <v>1885.7</v>
      </c>
      <c r="K151" s="10">
        <v>1857.8</v>
      </c>
      <c r="L151" s="10">
        <v>1601.3</v>
      </c>
      <c r="M151" s="10">
        <v>1951.2</v>
      </c>
      <c r="N151" s="10">
        <v>1162.4000000000001</v>
      </c>
      <c r="O151" s="11">
        <v>2115.6</v>
      </c>
      <c r="P151" s="10">
        <f t="shared" si="8"/>
        <v>-3.1141234658362436</v>
      </c>
    </row>
    <row r="152" spans="2:16" s="8" customFormat="1" ht="34.9" hidden="1" customHeight="1">
      <c r="B152" s="14">
        <v>42186</v>
      </c>
      <c r="C152" s="7">
        <v>1890.9</v>
      </c>
      <c r="D152" s="6">
        <v>2099.1999999999998</v>
      </c>
      <c r="E152" s="6">
        <v>1683.4</v>
      </c>
      <c r="F152" s="6">
        <v>71.599999999999994</v>
      </c>
      <c r="G152" s="6">
        <v>3251</v>
      </c>
      <c r="H152" s="6">
        <v>1562.5</v>
      </c>
      <c r="I152" s="6">
        <v>9012.2000000000007</v>
      </c>
      <c r="J152" s="6">
        <v>1990.7</v>
      </c>
      <c r="K152" s="6">
        <v>1790.5</v>
      </c>
      <c r="L152" s="6">
        <v>1578.1</v>
      </c>
      <c r="M152" s="6">
        <v>1964</v>
      </c>
      <c r="N152" s="6">
        <v>1162.4000000000001</v>
      </c>
      <c r="O152" s="7">
        <v>2125.6999999999998</v>
      </c>
      <c r="P152" s="6">
        <f t="shared" si="8"/>
        <v>0.47740593685006161</v>
      </c>
    </row>
    <row r="153" spans="2:16" s="8" customFormat="1" ht="34.9" hidden="1" customHeight="1">
      <c r="B153" s="15">
        <v>42217</v>
      </c>
      <c r="C153" s="11">
        <v>1848.77</v>
      </c>
      <c r="D153" s="10">
        <v>1976.29</v>
      </c>
      <c r="E153" s="10">
        <v>1658.29</v>
      </c>
      <c r="F153" s="10">
        <v>69.25</v>
      </c>
      <c r="G153" s="10">
        <v>3251.02</v>
      </c>
      <c r="H153" s="10">
        <v>1521.3</v>
      </c>
      <c r="I153" s="10">
        <v>9008.84</v>
      </c>
      <c r="J153" s="10">
        <v>1941.25</v>
      </c>
      <c r="K153" s="10">
        <v>1730.77</v>
      </c>
      <c r="L153" s="10">
        <v>1487.26</v>
      </c>
      <c r="M153" s="10">
        <v>1955.59</v>
      </c>
      <c r="N153" s="10">
        <v>1162.4000000000001</v>
      </c>
      <c r="O153" s="11">
        <v>2097.59</v>
      </c>
      <c r="P153" s="10">
        <f t="shared" si="8"/>
        <v>-1.3223879192736376</v>
      </c>
    </row>
    <row r="154" spans="2:16" s="8" customFormat="1" ht="34.9" hidden="1" customHeight="1">
      <c r="B154" s="14">
        <v>42248</v>
      </c>
      <c r="C154" s="7">
        <v>1808.75</v>
      </c>
      <c r="D154" s="6">
        <v>1880.67</v>
      </c>
      <c r="E154" s="6">
        <v>1685.2</v>
      </c>
      <c r="F154" s="6">
        <v>70.28</v>
      </c>
      <c r="G154" s="6">
        <v>3251.02</v>
      </c>
      <c r="H154" s="6">
        <v>1473.31</v>
      </c>
      <c r="I154" s="6">
        <v>9296.81</v>
      </c>
      <c r="J154" s="6">
        <v>1831.73</v>
      </c>
      <c r="K154" s="6">
        <v>1718.35</v>
      </c>
      <c r="L154" s="6">
        <v>1438.39</v>
      </c>
      <c r="M154" s="6">
        <v>1947.63</v>
      </c>
      <c r="N154" s="6">
        <v>1162.4000000000001</v>
      </c>
      <c r="O154" s="7">
        <v>2045.23</v>
      </c>
      <c r="P154" s="6">
        <f>O154/O153*100-100</f>
        <v>-2.4961980177251064</v>
      </c>
    </row>
    <row r="155" spans="2:16" s="8" customFormat="1" ht="34.9" hidden="1" customHeight="1">
      <c r="B155" s="15">
        <v>42278</v>
      </c>
      <c r="C155" s="11">
        <v>1780.23</v>
      </c>
      <c r="D155" s="10">
        <v>1661.78</v>
      </c>
      <c r="E155" s="10">
        <v>1619.19</v>
      </c>
      <c r="F155" s="10">
        <v>71.75</v>
      </c>
      <c r="G155" s="10">
        <v>3251.02</v>
      </c>
      <c r="H155" s="10">
        <v>1468.57</v>
      </c>
      <c r="I155" s="10">
        <v>9436.7800000000007</v>
      </c>
      <c r="J155" s="10">
        <v>1826.14</v>
      </c>
      <c r="K155" s="10">
        <v>1664.93</v>
      </c>
      <c r="L155" s="10">
        <v>1366.19</v>
      </c>
      <c r="M155" s="10">
        <v>1940.54</v>
      </c>
      <c r="N155" s="10">
        <v>1162.4000000000001</v>
      </c>
      <c r="O155" s="11">
        <v>2034.42</v>
      </c>
      <c r="P155" s="10">
        <f>O155/O154*100-100</f>
        <v>-0.52854691159429024</v>
      </c>
    </row>
    <row r="156" spans="2:16" s="8" customFormat="1" ht="34.9" hidden="1" customHeight="1">
      <c r="B156" s="14">
        <v>42309</v>
      </c>
      <c r="C156" s="7">
        <v>1771.9</v>
      </c>
      <c r="D156" s="6">
        <v>1629.9</v>
      </c>
      <c r="E156" s="6">
        <v>1651.25</v>
      </c>
      <c r="F156" s="6">
        <v>67.599999999999994</v>
      </c>
      <c r="G156" s="6">
        <v>3292.97</v>
      </c>
      <c r="H156" s="6">
        <v>1514.24</v>
      </c>
      <c r="I156" s="6">
        <v>10091.33</v>
      </c>
      <c r="J156" s="6">
        <v>1743.36</v>
      </c>
      <c r="K156" s="6">
        <v>1520.9</v>
      </c>
      <c r="L156" s="6">
        <v>1310.69</v>
      </c>
      <c r="M156" s="6">
        <v>1899.62</v>
      </c>
      <c r="N156" s="6">
        <v>1162.4000000000001</v>
      </c>
      <c r="O156" s="7">
        <v>1993.72</v>
      </c>
      <c r="P156" s="6">
        <f>O156/O155*100-100</f>
        <v>-2.0005701870803563</v>
      </c>
    </row>
    <row r="157" spans="2:16" s="8" customFormat="1" ht="34.9" hidden="1" customHeight="1">
      <c r="B157" s="15">
        <v>42339</v>
      </c>
      <c r="C157" s="11">
        <v>1848.84</v>
      </c>
      <c r="D157" s="10">
        <v>1731.42</v>
      </c>
      <c r="E157" s="10">
        <v>1646.77</v>
      </c>
      <c r="F157" s="10">
        <v>73.209999999999994</v>
      </c>
      <c r="G157" s="10">
        <v>3251.02</v>
      </c>
      <c r="H157" s="10">
        <v>1605.07</v>
      </c>
      <c r="I157" s="10">
        <v>10935.42</v>
      </c>
      <c r="J157" s="10">
        <v>1782.45</v>
      </c>
      <c r="K157" s="10">
        <v>1538.3</v>
      </c>
      <c r="L157" s="10">
        <v>1348.64</v>
      </c>
      <c r="M157" s="10">
        <v>1927.9</v>
      </c>
      <c r="N157" s="10">
        <v>1162.4000000000001</v>
      </c>
      <c r="O157" s="11">
        <v>2136.3200000000002</v>
      </c>
      <c r="P157" s="10">
        <f>O157/O156*100-100</f>
        <v>7.1524587203820147</v>
      </c>
    </row>
    <row r="158" spans="2:16" s="8" customFormat="1" ht="34.9" hidden="1" customHeight="1">
      <c r="B158" s="3">
        <v>2016</v>
      </c>
      <c r="C158" s="93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3"/>
      <c r="P158" s="94"/>
    </row>
    <row r="159" spans="2:16" s="8" customFormat="1" ht="34.9" hidden="1" customHeight="1">
      <c r="B159" s="14">
        <v>42370</v>
      </c>
      <c r="C159" s="7">
        <v>1820.29</v>
      </c>
      <c r="D159" s="6">
        <v>1809.78</v>
      </c>
      <c r="E159" s="6">
        <v>1568.67</v>
      </c>
      <c r="F159" s="6">
        <v>72.52</v>
      </c>
      <c r="G159" s="6">
        <v>3292.97</v>
      </c>
      <c r="H159" s="6">
        <v>1522.38</v>
      </c>
      <c r="I159" s="6">
        <v>10630.21</v>
      </c>
      <c r="J159" s="6">
        <v>1744.28</v>
      </c>
      <c r="K159" s="6">
        <v>1536.18</v>
      </c>
      <c r="L159" s="6">
        <v>1373.97</v>
      </c>
      <c r="M159" s="6">
        <v>1951.37</v>
      </c>
      <c r="N159" s="6">
        <v>1162.4000000000001</v>
      </c>
      <c r="O159" s="7">
        <v>2147</v>
      </c>
      <c r="P159" s="6">
        <f>O159/O157*100-100</f>
        <v>0.49992510485319031</v>
      </c>
    </row>
    <row r="160" spans="2:16" s="8" customFormat="1" ht="34.9" hidden="1" customHeight="1">
      <c r="B160" s="15">
        <v>42401</v>
      </c>
      <c r="C160" s="11">
        <v>1829.47</v>
      </c>
      <c r="D160" s="10">
        <v>1761.39</v>
      </c>
      <c r="E160" s="10">
        <v>1562.44</v>
      </c>
      <c r="F160" s="10">
        <v>65.38</v>
      </c>
      <c r="G160" s="10">
        <v>3251.02</v>
      </c>
      <c r="H160" s="10">
        <v>1547.47</v>
      </c>
      <c r="I160" s="10">
        <v>11096.56</v>
      </c>
      <c r="J160" s="10">
        <v>1707.91</v>
      </c>
      <c r="K160" s="10">
        <v>1535.04</v>
      </c>
      <c r="L160" s="10">
        <v>1462.49</v>
      </c>
      <c r="M160" s="10">
        <v>1955.39</v>
      </c>
      <c r="N160" s="10">
        <v>1162.4000000000001</v>
      </c>
      <c r="O160" s="11">
        <v>2116.25</v>
      </c>
      <c r="P160" s="10">
        <f>O160/O159*100-100</f>
        <v>-1.4322310200279418</v>
      </c>
    </row>
    <row r="161" spans="2:16" s="8" customFormat="1" ht="34.9" hidden="1" customHeight="1">
      <c r="B161" s="14">
        <v>42430</v>
      </c>
      <c r="C161" s="7">
        <v>1996.66</v>
      </c>
      <c r="D161" s="6">
        <v>1786.28</v>
      </c>
      <c r="E161" s="6">
        <v>1503.58</v>
      </c>
      <c r="F161" s="6">
        <v>61.26</v>
      </c>
      <c r="G161" s="6">
        <v>3251.02</v>
      </c>
      <c r="H161" s="6">
        <v>1449.01</v>
      </c>
      <c r="I161" s="6">
        <v>15498.34</v>
      </c>
      <c r="J161" s="6">
        <v>1652.79</v>
      </c>
      <c r="K161" s="6">
        <v>1113.92</v>
      </c>
      <c r="L161" s="6">
        <v>1447.72</v>
      </c>
      <c r="M161" s="6">
        <v>1983.98</v>
      </c>
      <c r="N161" s="6">
        <v>1162.4000000000001</v>
      </c>
      <c r="O161" s="7">
        <v>2151.89</v>
      </c>
      <c r="P161" s="6">
        <f>O161/O160*100-100</f>
        <v>1.6841110454813872</v>
      </c>
    </row>
    <row r="162" spans="2:16" s="8" customFormat="1" ht="34.9" hidden="1" customHeight="1">
      <c r="B162" s="15">
        <v>42461</v>
      </c>
      <c r="C162" s="11">
        <v>1938.6</v>
      </c>
      <c r="D162" s="10">
        <v>1795.3</v>
      </c>
      <c r="E162" s="10">
        <v>1536.8</v>
      </c>
      <c r="F162" s="10">
        <v>70.7</v>
      </c>
      <c r="G162" s="10">
        <v>3796.4</v>
      </c>
      <c r="H162" s="10">
        <v>1470.1</v>
      </c>
      <c r="I162" s="10">
        <v>14934.5</v>
      </c>
      <c r="J162" s="10">
        <v>1579.4</v>
      </c>
      <c r="K162" s="10">
        <v>1096.0999999999999</v>
      </c>
      <c r="L162" s="10">
        <v>1291.8</v>
      </c>
      <c r="M162" s="10">
        <v>1929.7</v>
      </c>
      <c r="N162" s="10">
        <v>1162.4000000000001</v>
      </c>
      <c r="O162" s="11">
        <v>2094.6999999999998</v>
      </c>
      <c r="P162" s="10">
        <f>O162/O161*100-100</f>
        <v>-2.6576637281645503</v>
      </c>
    </row>
    <row r="163" spans="2:16" s="8" customFormat="1" ht="34.9" hidden="1" customHeight="1">
      <c r="B163" s="14">
        <v>42491</v>
      </c>
      <c r="C163" s="7">
        <v>2024.43</v>
      </c>
      <c r="D163" s="6">
        <v>1743.6</v>
      </c>
      <c r="E163" s="6">
        <v>1498.58</v>
      </c>
      <c r="F163" s="6">
        <v>70.739999999999995</v>
      </c>
      <c r="G163" s="6">
        <v>3796.35</v>
      </c>
      <c r="H163" s="6">
        <v>1462.28</v>
      </c>
      <c r="I163" s="6">
        <v>16762.75</v>
      </c>
      <c r="J163" s="6">
        <v>1534.88</v>
      </c>
      <c r="K163" s="6">
        <v>1095.23</v>
      </c>
      <c r="L163" s="6">
        <v>1418.5</v>
      </c>
      <c r="M163" s="6">
        <v>1921.9</v>
      </c>
      <c r="N163" s="6">
        <v>1162.4000000000001</v>
      </c>
      <c r="O163" s="7">
        <v>2118.44</v>
      </c>
      <c r="P163" s="6">
        <f t="shared" ref="P163:P166" si="9">O163/O162*100-100</f>
        <v>1.1333365159688782</v>
      </c>
    </row>
    <row r="164" spans="2:16" s="8" customFormat="1" ht="34.9" hidden="1" customHeight="1">
      <c r="B164" s="15">
        <v>42522</v>
      </c>
      <c r="C164" s="11">
        <v>2013.69</v>
      </c>
      <c r="D164" s="10">
        <v>1710.7</v>
      </c>
      <c r="E164" s="10">
        <v>1493.77</v>
      </c>
      <c r="F164" s="10">
        <v>81.790000000000006</v>
      </c>
      <c r="G164" s="10">
        <v>3460.76</v>
      </c>
      <c r="H164" s="10">
        <v>1460.58</v>
      </c>
      <c r="I164" s="10">
        <v>16872.45</v>
      </c>
      <c r="J164" s="10">
        <v>1495.64</v>
      </c>
      <c r="K164" s="10">
        <v>1046.6400000000001</v>
      </c>
      <c r="L164" s="10">
        <v>1391.92</v>
      </c>
      <c r="M164" s="10">
        <v>1947.1</v>
      </c>
      <c r="N164" s="10">
        <v>1162.4000000000001</v>
      </c>
      <c r="O164" s="11">
        <v>2091.35</v>
      </c>
      <c r="P164" s="10">
        <f t="shared" si="9"/>
        <v>-1.278771171239228</v>
      </c>
    </row>
    <row r="165" spans="2:16" s="8" customFormat="1" ht="34.9" hidden="1" customHeight="1">
      <c r="B165" s="14">
        <v>42552</v>
      </c>
      <c r="C165" s="7">
        <v>2032.02</v>
      </c>
      <c r="D165" s="6">
        <v>1597.33</v>
      </c>
      <c r="E165" s="6">
        <v>1565.59</v>
      </c>
      <c r="F165" s="6">
        <v>79.41</v>
      </c>
      <c r="G165" s="6">
        <v>3586.28</v>
      </c>
      <c r="H165" s="6">
        <v>1484.57</v>
      </c>
      <c r="I165" s="6">
        <v>17537.080000000002</v>
      </c>
      <c r="J165" s="6">
        <v>1462.06</v>
      </c>
      <c r="K165" s="6">
        <v>1051.93</v>
      </c>
      <c r="L165" s="6">
        <v>1345.65</v>
      </c>
      <c r="M165" s="6">
        <v>1999.63</v>
      </c>
      <c r="N165" s="6">
        <v>1162.4000000000001</v>
      </c>
      <c r="O165" s="7">
        <v>2102.13</v>
      </c>
      <c r="P165" s="6">
        <f t="shared" si="9"/>
        <v>0.51545652329836855</v>
      </c>
    </row>
    <row r="166" spans="2:16" s="8" customFormat="1" ht="34.9" hidden="1" customHeight="1">
      <c r="B166" s="15">
        <v>42583</v>
      </c>
      <c r="C166" s="11">
        <v>1911.66</v>
      </c>
      <c r="D166" s="10">
        <v>1610.86</v>
      </c>
      <c r="E166" s="10">
        <v>1546.83</v>
      </c>
      <c r="F166" s="10">
        <v>77.03</v>
      </c>
      <c r="G166" s="10">
        <v>4231.8100000000004</v>
      </c>
      <c r="H166" s="10">
        <v>1514.98</v>
      </c>
      <c r="I166" s="10">
        <v>15419.87</v>
      </c>
      <c r="J166" s="10">
        <v>1412.67</v>
      </c>
      <c r="K166" s="10">
        <v>1011.02</v>
      </c>
      <c r="L166" s="10">
        <v>1317.08</v>
      </c>
      <c r="M166" s="10">
        <v>2073.15</v>
      </c>
      <c r="N166" s="10">
        <v>1162.4000000000001</v>
      </c>
      <c r="O166" s="11">
        <v>2076.83</v>
      </c>
      <c r="P166" s="10">
        <f t="shared" si="9"/>
        <v>-1.2035411701464795</v>
      </c>
    </row>
    <row r="167" spans="2:16" s="8" customFormat="1" ht="34.9" hidden="1" customHeight="1">
      <c r="B167" s="14">
        <v>42614</v>
      </c>
      <c r="C167" s="7">
        <v>1924.94</v>
      </c>
      <c r="D167" s="6">
        <v>1643.7</v>
      </c>
      <c r="E167" s="6">
        <v>1547.74</v>
      </c>
      <c r="F167" s="6">
        <v>77.03</v>
      </c>
      <c r="G167" s="6">
        <v>4231.8100000000004</v>
      </c>
      <c r="H167" s="6">
        <v>1533.6</v>
      </c>
      <c r="I167" s="6">
        <v>15622.84</v>
      </c>
      <c r="J167" s="6">
        <v>1425.5</v>
      </c>
      <c r="K167" s="6">
        <v>984.59</v>
      </c>
      <c r="L167" s="6">
        <v>1277.83</v>
      </c>
      <c r="M167" s="6">
        <v>2028.9</v>
      </c>
      <c r="N167" s="6">
        <v>1162.4000000000001</v>
      </c>
      <c r="O167" s="7">
        <v>2120.46</v>
      </c>
      <c r="P167" s="6">
        <f>O167/O166*100-100</f>
        <v>2.1007978505703306</v>
      </c>
    </row>
    <row r="168" spans="2:16" s="8" customFormat="1" ht="34.9" hidden="1" customHeight="1">
      <c r="B168" s="15">
        <v>42644</v>
      </c>
      <c r="C168" s="11">
        <v>1923.66</v>
      </c>
      <c r="D168" s="10">
        <v>1580.4</v>
      </c>
      <c r="E168" s="10">
        <v>1577.24</v>
      </c>
      <c r="F168" s="10">
        <v>77.03</v>
      </c>
      <c r="G168" s="10">
        <v>4034.57</v>
      </c>
      <c r="H168" s="10">
        <v>1536.02</v>
      </c>
      <c r="I168" s="10">
        <v>15962.01</v>
      </c>
      <c r="J168" s="10">
        <v>1369.08</v>
      </c>
      <c r="K168" s="10">
        <v>1015.19</v>
      </c>
      <c r="L168" s="10">
        <v>1275.8399999999999</v>
      </c>
      <c r="M168" s="10">
        <v>2089.02</v>
      </c>
      <c r="N168" s="10">
        <v>1162.4000000000001</v>
      </c>
      <c r="O168" s="11">
        <v>2107.58</v>
      </c>
      <c r="P168" s="10">
        <f>O168/O167*100-100</f>
        <v>-0.60741537213624497</v>
      </c>
    </row>
    <row r="169" spans="2:16" s="8" customFormat="1" ht="34.9" hidden="1" customHeight="1">
      <c r="B169" s="14">
        <v>42675</v>
      </c>
      <c r="C169" s="7">
        <v>2082.04</v>
      </c>
      <c r="D169" s="6">
        <v>1577.45</v>
      </c>
      <c r="E169" s="6">
        <v>1601.23</v>
      </c>
      <c r="F169" s="6">
        <v>77.03</v>
      </c>
      <c r="G169" s="6">
        <v>4698.03</v>
      </c>
      <c r="H169" s="6">
        <v>1522.85</v>
      </c>
      <c r="I169" s="6">
        <v>18337.55</v>
      </c>
      <c r="J169" s="6">
        <v>1477.45</v>
      </c>
      <c r="K169" s="6">
        <v>974.3</v>
      </c>
      <c r="L169" s="6">
        <v>1218.33</v>
      </c>
      <c r="M169" s="6">
        <v>2159.5500000000002</v>
      </c>
      <c r="N169" s="6">
        <v>1162.4000000000001</v>
      </c>
      <c r="O169" s="7">
        <v>2170.98</v>
      </c>
      <c r="P169" s="6">
        <f>O169/O168*100-100</f>
        <v>3.0081894874690391</v>
      </c>
    </row>
    <row r="170" spans="2:16" s="8" customFormat="1" ht="34.9" hidden="1" customHeight="1">
      <c r="B170" s="15">
        <v>42705</v>
      </c>
      <c r="C170" s="11">
        <v>2092.9899999999998</v>
      </c>
      <c r="D170" s="10">
        <v>1539.23</v>
      </c>
      <c r="E170" s="10">
        <v>1544.11</v>
      </c>
      <c r="F170" s="10">
        <v>77.03</v>
      </c>
      <c r="G170" s="10">
        <v>4841.4799999999996</v>
      </c>
      <c r="H170" s="10">
        <v>1537.26</v>
      </c>
      <c r="I170" s="10">
        <v>18499.439999999999</v>
      </c>
      <c r="J170" s="10">
        <v>1502.11</v>
      </c>
      <c r="K170" s="10">
        <v>946.29</v>
      </c>
      <c r="L170" s="10">
        <v>1188.8499999999999</v>
      </c>
      <c r="M170" s="10">
        <v>2212.35</v>
      </c>
      <c r="N170" s="10">
        <v>1162.4000000000001</v>
      </c>
      <c r="O170" s="11">
        <v>2170.29</v>
      </c>
      <c r="P170" s="10">
        <f>O170/O169*100-100</f>
        <v>-3.178288146366981E-2</v>
      </c>
    </row>
    <row r="171" spans="2:16" s="8" customFormat="1" ht="34.9" hidden="1" customHeight="1">
      <c r="B171" s="3">
        <v>2017</v>
      </c>
      <c r="C171" s="93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3"/>
      <c r="P171" s="94"/>
    </row>
    <row r="172" spans="2:16" s="8" customFormat="1" ht="34.9" hidden="1" customHeight="1">
      <c r="B172" s="14">
        <v>42736</v>
      </c>
      <c r="C172" s="7">
        <v>1999.67</v>
      </c>
      <c r="D172" s="6">
        <v>1531.52</v>
      </c>
      <c r="E172" s="6">
        <v>1502.7</v>
      </c>
      <c r="F172" s="6">
        <v>79.86</v>
      </c>
      <c r="G172" s="6">
        <v>4626.3100000000004</v>
      </c>
      <c r="H172" s="6">
        <v>1534.75</v>
      </c>
      <c r="I172" s="6">
        <v>17530.91</v>
      </c>
      <c r="J172" s="6">
        <v>1384.13</v>
      </c>
      <c r="K172" s="6">
        <v>984.17</v>
      </c>
      <c r="L172" s="6">
        <v>1197.1099999999999</v>
      </c>
      <c r="M172" s="6">
        <v>2169.58</v>
      </c>
      <c r="N172" s="6">
        <v>1162.4000000000001</v>
      </c>
      <c r="O172" s="7">
        <v>2161.4699999999998</v>
      </c>
      <c r="P172" s="6">
        <f>O172/O170*100-100</f>
        <v>-0.40639730174308397</v>
      </c>
    </row>
    <row r="173" spans="2:16" s="8" customFormat="1" ht="34.9" hidden="1" customHeight="1">
      <c r="B173" s="15">
        <v>42767</v>
      </c>
      <c r="C173" s="11">
        <v>2069.48</v>
      </c>
      <c r="D173" s="10">
        <v>1549.27</v>
      </c>
      <c r="E173" s="10">
        <v>1488.95</v>
      </c>
      <c r="F173" s="10">
        <v>81.27</v>
      </c>
      <c r="G173" s="10">
        <v>4949.07</v>
      </c>
      <c r="H173" s="10">
        <v>1500.59</v>
      </c>
      <c r="I173" s="10">
        <v>18880.599999999999</v>
      </c>
      <c r="J173" s="10">
        <v>1403.77</v>
      </c>
      <c r="K173" s="10">
        <v>949.84</v>
      </c>
      <c r="L173" s="10">
        <v>1184.3</v>
      </c>
      <c r="M173" s="10">
        <v>2154.0500000000002</v>
      </c>
      <c r="N173" s="10">
        <v>1162.4000000000001</v>
      </c>
      <c r="O173" s="11">
        <v>2212.7600000000002</v>
      </c>
      <c r="P173" s="10">
        <f>O173/O172*100-100</f>
        <v>2.3729221316974218</v>
      </c>
    </row>
    <row r="174" spans="2:16" s="8" customFormat="1" ht="34.9" hidden="1" customHeight="1">
      <c r="B174" s="14">
        <v>42795</v>
      </c>
      <c r="C174" s="7">
        <v>2086.7399999999998</v>
      </c>
      <c r="D174" s="6">
        <v>1574.44</v>
      </c>
      <c r="E174" s="6">
        <v>1451.43</v>
      </c>
      <c r="F174" s="6">
        <v>70.67</v>
      </c>
      <c r="G174" s="6">
        <v>4931.1400000000003</v>
      </c>
      <c r="H174" s="6">
        <v>1500.49</v>
      </c>
      <c r="I174" s="6">
        <v>18214.45</v>
      </c>
      <c r="J174" s="6">
        <v>1562.91</v>
      </c>
      <c r="K174" s="6">
        <v>978.08</v>
      </c>
      <c r="L174" s="6">
        <v>1117.57</v>
      </c>
      <c r="M174" s="6">
        <v>2102.0500000000002</v>
      </c>
      <c r="N174" s="6">
        <v>1162.4000000000001</v>
      </c>
      <c r="O174" s="7">
        <v>2250.1799999999998</v>
      </c>
      <c r="P174" s="6">
        <f>O174/O173*100-100</f>
        <v>1.6911007068095785</v>
      </c>
    </row>
    <row r="175" spans="2:16" s="8" customFormat="1" ht="34.9" hidden="1" customHeight="1">
      <c r="B175" s="15">
        <v>42826</v>
      </c>
      <c r="C175" s="11">
        <v>2056.8200000000002</v>
      </c>
      <c r="D175" s="10">
        <v>1513.88</v>
      </c>
      <c r="E175" s="10">
        <v>1349.52</v>
      </c>
      <c r="F175" s="10">
        <v>70.67</v>
      </c>
      <c r="G175" s="10">
        <v>4913.21</v>
      </c>
      <c r="H175" s="10">
        <v>1446.53</v>
      </c>
      <c r="I175" s="10">
        <v>17576.169999999998</v>
      </c>
      <c r="J175" s="10">
        <v>1647.72</v>
      </c>
      <c r="K175" s="10">
        <v>947.68</v>
      </c>
      <c r="L175" s="10">
        <v>1151.93</v>
      </c>
      <c r="M175" s="10">
        <v>1964.14</v>
      </c>
      <c r="N175" s="10">
        <v>1162.4000000000001</v>
      </c>
      <c r="O175" s="11">
        <v>2185.2600000000002</v>
      </c>
      <c r="P175" s="10">
        <f>O175/O174*100-100</f>
        <v>-2.885102525131316</v>
      </c>
    </row>
    <row r="176" spans="2:16" s="8" customFormat="1" ht="34.9" hidden="1" customHeight="1">
      <c r="B176" s="14">
        <v>42856</v>
      </c>
      <c r="C176" s="7">
        <v>2172.3000000000002</v>
      </c>
      <c r="D176" s="6">
        <v>1451.49</v>
      </c>
      <c r="E176" s="6">
        <v>1360.01</v>
      </c>
      <c r="F176" s="6">
        <v>70.67</v>
      </c>
      <c r="G176" s="6">
        <v>4931.1400000000003</v>
      </c>
      <c r="H176" s="6">
        <v>1432.38</v>
      </c>
      <c r="I176" s="6">
        <v>20348.669999999998</v>
      </c>
      <c r="J176" s="6">
        <v>1603.21</v>
      </c>
      <c r="K176" s="6">
        <v>929.62</v>
      </c>
      <c r="L176" s="6">
        <v>1091.3</v>
      </c>
      <c r="M176" s="6">
        <v>1964.63</v>
      </c>
      <c r="N176" s="6">
        <v>1162.4000000000001</v>
      </c>
      <c r="O176" s="7">
        <v>2175.1799999999998</v>
      </c>
      <c r="P176" s="6">
        <f t="shared" ref="P176:P179" si="10">O176/O175*100-100</f>
        <v>-0.461272342879127</v>
      </c>
    </row>
    <row r="177" spans="2:16" s="8" customFormat="1" ht="34.9" hidden="1" customHeight="1">
      <c r="B177" s="15">
        <v>42887</v>
      </c>
      <c r="C177" s="11">
        <v>2141.17</v>
      </c>
      <c r="D177" s="10">
        <v>1445.55</v>
      </c>
      <c r="E177" s="10">
        <v>1397.6</v>
      </c>
      <c r="F177" s="10">
        <v>70.67</v>
      </c>
      <c r="G177" s="10">
        <v>5200.1099999999997</v>
      </c>
      <c r="H177" s="10">
        <v>1440.46</v>
      </c>
      <c r="I177" s="10">
        <v>19825.45</v>
      </c>
      <c r="J177" s="10">
        <v>1593.09</v>
      </c>
      <c r="K177" s="10">
        <v>909.51</v>
      </c>
      <c r="L177" s="10">
        <v>1093.04</v>
      </c>
      <c r="M177" s="10">
        <v>1931.05</v>
      </c>
      <c r="N177" s="10">
        <v>1162.4000000000001</v>
      </c>
      <c r="O177" s="11">
        <v>2167.4</v>
      </c>
      <c r="P177" s="10">
        <f t="shared" si="10"/>
        <v>-0.35767154902121945</v>
      </c>
    </row>
    <row r="178" spans="2:16" s="8" customFormat="1" ht="34.9" hidden="1" customHeight="1">
      <c r="B178" s="14">
        <v>42917</v>
      </c>
      <c r="C178" s="7">
        <v>2087.1799999999998</v>
      </c>
      <c r="D178" s="6">
        <v>1395.67</v>
      </c>
      <c r="E178" s="6">
        <v>1380.63</v>
      </c>
      <c r="F178" s="6">
        <v>70.67</v>
      </c>
      <c r="G178" s="6">
        <v>5540.81</v>
      </c>
      <c r="H178" s="6">
        <v>1389.94</v>
      </c>
      <c r="I178" s="6">
        <v>18943.650000000001</v>
      </c>
      <c r="J178" s="6">
        <v>1593.45</v>
      </c>
      <c r="K178" s="6">
        <v>937.81</v>
      </c>
      <c r="L178" s="6">
        <v>1053.6400000000001</v>
      </c>
      <c r="M178" s="6">
        <v>1933</v>
      </c>
      <c r="N178" s="6">
        <v>1162.4000000000001</v>
      </c>
      <c r="O178" s="7">
        <v>2139.8200000000002</v>
      </c>
      <c r="P178" s="6">
        <f t="shared" si="10"/>
        <v>-1.2724923871920311</v>
      </c>
    </row>
    <row r="179" spans="2:16" s="8" customFormat="1" ht="34.9" hidden="1" customHeight="1">
      <c r="B179" s="15">
        <v>42948</v>
      </c>
      <c r="C179" s="11">
        <v>2141.7600000000002</v>
      </c>
      <c r="D179" s="10">
        <v>1283.81</v>
      </c>
      <c r="E179" s="10">
        <v>1468.27</v>
      </c>
      <c r="F179" s="10">
        <v>70.67</v>
      </c>
      <c r="G179" s="10">
        <v>5971.16</v>
      </c>
      <c r="H179" s="10">
        <v>1380.05</v>
      </c>
      <c r="I179" s="10">
        <v>20192.650000000001</v>
      </c>
      <c r="J179" s="10">
        <v>1589.46</v>
      </c>
      <c r="K179" s="10">
        <v>949.96</v>
      </c>
      <c r="L179" s="10">
        <v>1213.19</v>
      </c>
      <c r="M179" s="10">
        <v>1812.44</v>
      </c>
      <c r="N179" s="10">
        <v>1162.4000000000001</v>
      </c>
      <c r="O179" s="11">
        <v>2157.2600000000002</v>
      </c>
      <c r="P179" s="10">
        <f t="shared" si="10"/>
        <v>0.81502182426559955</v>
      </c>
    </row>
    <row r="180" spans="2:16" s="8" customFormat="1" ht="34.9" hidden="1" customHeight="1">
      <c r="B180" s="14">
        <v>42979</v>
      </c>
      <c r="C180" s="7">
        <v>2115.61</v>
      </c>
      <c r="D180" s="6">
        <v>1388.75</v>
      </c>
      <c r="E180" s="6">
        <v>1464.83</v>
      </c>
      <c r="F180" s="6">
        <v>70.67</v>
      </c>
      <c r="G180" s="6">
        <v>6186.34</v>
      </c>
      <c r="H180" s="6">
        <v>1394.23</v>
      </c>
      <c r="I180" s="6">
        <v>19530.28</v>
      </c>
      <c r="J180" s="6">
        <v>1586.73</v>
      </c>
      <c r="K180" s="6">
        <v>953.14</v>
      </c>
      <c r="L180" s="6">
        <v>1183.93</v>
      </c>
      <c r="M180" s="6">
        <v>1772.15</v>
      </c>
      <c r="N180" s="6">
        <v>1162.4000000000001</v>
      </c>
      <c r="O180" s="7">
        <v>2121.52</v>
      </c>
      <c r="P180" s="6">
        <f>O180/O179*100-100</f>
        <v>-1.6567312238673253</v>
      </c>
    </row>
    <row r="181" spans="2:16" s="8" customFormat="1" ht="34.9" hidden="1" customHeight="1">
      <c r="B181" s="15">
        <v>43009</v>
      </c>
      <c r="C181" s="11">
        <v>2114.33</v>
      </c>
      <c r="D181" s="10">
        <v>1434.6</v>
      </c>
      <c r="E181" s="10">
        <v>1415</v>
      </c>
      <c r="F181" s="10">
        <v>70.67</v>
      </c>
      <c r="G181" s="10">
        <v>6186.34</v>
      </c>
      <c r="H181" s="10">
        <v>1362.58</v>
      </c>
      <c r="I181" s="10">
        <v>20525.29</v>
      </c>
      <c r="J181" s="10">
        <v>1486.56</v>
      </c>
      <c r="K181" s="10">
        <v>930.51</v>
      </c>
      <c r="L181" s="10">
        <v>1236.6400000000001</v>
      </c>
      <c r="M181" s="10">
        <v>1697.02</v>
      </c>
      <c r="N181" s="10">
        <v>1162.4000000000001</v>
      </c>
      <c r="O181" s="11">
        <v>2093.19</v>
      </c>
      <c r="P181" s="10">
        <f>O181/O180*100-100</f>
        <v>-1.3353633244089167</v>
      </c>
    </row>
    <row r="182" spans="2:16" s="8" customFormat="1" ht="34.9" hidden="1" customHeight="1">
      <c r="B182" s="14">
        <v>43040</v>
      </c>
      <c r="C182" s="7">
        <v>2184.33</v>
      </c>
      <c r="D182" s="6">
        <v>1386.79</v>
      </c>
      <c r="E182" s="6">
        <v>1383.56</v>
      </c>
      <c r="F182" s="6">
        <v>70.67</v>
      </c>
      <c r="G182" s="6">
        <v>5827.71</v>
      </c>
      <c r="H182" s="6">
        <v>1369.15</v>
      </c>
      <c r="I182" s="6">
        <v>22424.06</v>
      </c>
      <c r="J182" s="6">
        <v>1465.41</v>
      </c>
      <c r="K182" s="6">
        <v>928.14</v>
      </c>
      <c r="L182" s="6">
        <v>1181.29</v>
      </c>
      <c r="M182" s="6">
        <v>1764.8</v>
      </c>
      <c r="N182" s="6">
        <v>1162.4000000000001</v>
      </c>
      <c r="O182" s="7">
        <v>2122.4699999999998</v>
      </c>
      <c r="P182" s="6">
        <f>O182/O181*100-100</f>
        <v>1.3988218938557822</v>
      </c>
    </row>
    <row r="183" spans="2:16" s="8" customFormat="1" ht="34.9" hidden="1" customHeight="1">
      <c r="B183" s="15">
        <v>43070</v>
      </c>
      <c r="C183" s="11">
        <v>2229.54</v>
      </c>
      <c r="D183" s="10">
        <v>1318.86</v>
      </c>
      <c r="E183" s="10">
        <v>1329.52</v>
      </c>
      <c r="F183" s="10">
        <v>70.67</v>
      </c>
      <c r="G183" s="10">
        <v>5827.71</v>
      </c>
      <c r="H183" s="10">
        <v>1380.1</v>
      </c>
      <c r="I183" s="10">
        <v>23817.07</v>
      </c>
      <c r="J183" s="10">
        <v>1460.48</v>
      </c>
      <c r="K183" s="10">
        <v>917.58</v>
      </c>
      <c r="L183" s="10">
        <v>1083.04</v>
      </c>
      <c r="M183" s="10">
        <v>1786.97</v>
      </c>
      <c r="N183" s="10">
        <v>1162.4000000000001</v>
      </c>
      <c r="O183" s="11">
        <v>2126.7800000000002</v>
      </c>
      <c r="P183" s="10">
        <f>O183/O182*100-100</f>
        <v>0.2030652965648585</v>
      </c>
    </row>
    <row r="184" spans="2:16" s="8" customFormat="1" ht="34.9" hidden="1" customHeight="1">
      <c r="B184" s="3">
        <v>2018</v>
      </c>
      <c r="C184" s="93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3"/>
      <c r="P184" s="94"/>
    </row>
    <row r="185" spans="2:16" s="8" customFormat="1" ht="34.9" hidden="1" customHeight="1">
      <c r="B185" s="14">
        <v>43101</v>
      </c>
      <c r="C185" s="7">
        <v>2393.7800000000002</v>
      </c>
      <c r="D185" s="6">
        <v>1242.47</v>
      </c>
      <c r="E185" s="6">
        <v>1312.91</v>
      </c>
      <c r="F185" s="6">
        <v>70.67</v>
      </c>
      <c r="G185" s="6">
        <v>5881.5</v>
      </c>
      <c r="H185" s="6">
        <v>1392.27</v>
      </c>
      <c r="I185" s="6">
        <v>27517.11</v>
      </c>
      <c r="J185" s="6">
        <v>1475.67</v>
      </c>
      <c r="K185" s="6">
        <v>944.84</v>
      </c>
      <c r="L185" s="6">
        <v>1100.55</v>
      </c>
      <c r="M185" s="6">
        <v>1807.51</v>
      </c>
      <c r="N185" s="6">
        <v>1162.4000000000001</v>
      </c>
      <c r="O185" s="7">
        <v>2193.3000000000002</v>
      </c>
      <c r="P185" s="6">
        <f>O185/O183*100-100</f>
        <v>3.1277330048241794</v>
      </c>
    </row>
    <row r="186" spans="2:16" s="8" customFormat="1" ht="34.9" hidden="1" customHeight="1">
      <c r="B186" s="15">
        <v>43132</v>
      </c>
      <c r="C186" s="11">
        <v>2266.31</v>
      </c>
      <c r="D186" s="10">
        <v>1087.9000000000001</v>
      </c>
      <c r="E186" s="10">
        <v>1301.55</v>
      </c>
      <c r="F186" s="10">
        <v>70.67</v>
      </c>
      <c r="G186" s="10">
        <v>5881.5</v>
      </c>
      <c r="H186" s="10">
        <v>1384.99</v>
      </c>
      <c r="I186" s="10">
        <v>25109.61</v>
      </c>
      <c r="J186" s="10">
        <v>1485.3</v>
      </c>
      <c r="K186" s="10">
        <v>929.52</v>
      </c>
      <c r="L186" s="10">
        <v>1104.56</v>
      </c>
      <c r="M186" s="10">
        <v>1744.36</v>
      </c>
      <c r="N186" s="10">
        <v>1162.4000000000001</v>
      </c>
      <c r="O186" s="11">
        <v>2219.67</v>
      </c>
      <c r="P186" s="10">
        <f>O186/O185*100-100</f>
        <v>1.2022979072630307</v>
      </c>
    </row>
    <row r="187" spans="2:16" s="8" customFormat="1" ht="34.9" hidden="1" customHeight="1">
      <c r="B187" s="14">
        <v>43160</v>
      </c>
      <c r="C187" s="7">
        <v>2312.5500000000002</v>
      </c>
      <c r="D187" s="6">
        <v>1107.53</v>
      </c>
      <c r="E187" s="6">
        <v>1287.8399999999999</v>
      </c>
      <c r="F187" s="6">
        <v>70.67</v>
      </c>
      <c r="G187" s="6">
        <v>5881.5</v>
      </c>
      <c r="H187" s="6">
        <v>1370.55</v>
      </c>
      <c r="I187" s="6">
        <v>25982.87</v>
      </c>
      <c r="J187" s="6">
        <v>1476.05</v>
      </c>
      <c r="K187" s="6">
        <v>925.4</v>
      </c>
      <c r="L187" s="6">
        <v>1343.68</v>
      </c>
      <c r="M187" s="6">
        <v>1782.46</v>
      </c>
      <c r="N187" s="6">
        <v>1162.4000000000001</v>
      </c>
      <c r="O187" s="7">
        <v>2233.2600000000002</v>
      </c>
      <c r="P187" s="6">
        <f>O187/O186*100-100</f>
        <v>0.61225317276894486</v>
      </c>
    </row>
    <row r="188" spans="2:16" s="8" customFormat="1" ht="34.9" hidden="1" customHeight="1">
      <c r="B188" s="15">
        <v>43191</v>
      </c>
      <c r="C188" s="11">
        <v>2157.5</v>
      </c>
      <c r="D188" s="10">
        <v>1085.2</v>
      </c>
      <c r="E188" s="10">
        <v>1228.3</v>
      </c>
      <c r="F188" s="10">
        <v>65.7</v>
      </c>
      <c r="G188" s="10">
        <v>5594.6</v>
      </c>
      <c r="H188" s="10">
        <v>1379</v>
      </c>
      <c r="I188" s="10">
        <v>23470.2</v>
      </c>
      <c r="J188" s="10">
        <v>1417.2</v>
      </c>
      <c r="K188" s="10">
        <v>865.4</v>
      </c>
      <c r="L188" s="10">
        <v>1390</v>
      </c>
      <c r="M188" s="10">
        <v>1664.9</v>
      </c>
      <c r="N188" s="10">
        <v>1162.4000000000001</v>
      </c>
      <c r="O188" s="11">
        <v>2191.5</v>
      </c>
      <c r="P188" s="10">
        <f>O188/O187*100-100</f>
        <v>-1.8699121463689892</v>
      </c>
    </row>
    <row r="189" spans="2:16" s="8" customFormat="1" ht="34.9" hidden="1" customHeight="1">
      <c r="B189" s="14">
        <v>43221</v>
      </c>
      <c r="C189" s="7">
        <v>2211.3000000000002</v>
      </c>
      <c r="D189" s="6">
        <v>1043.7</v>
      </c>
      <c r="E189" s="6">
        <v>1177.2</v>
      </c>
      <c r="F189" s="6">
        <v>65.7</v>
      </c>
      <c r="G189" s="6">
        <v>5863.6</v>
      </c>
      <c r="H189" s="6">
        <v>1325.1</v>
      </c>
      <c r="I189" s="6">
        <v>24323.9</v>
      </c>
      <c r="J189" s="6">
        <v>1493.7</v>
      </c>
      <c r="K189" s="6">
        <v>782.8</v>
      </c>
      <c r="L189" s="6">
        <v>1494</v>
      </c>
      <c r="M189" s="6">
        <v>1646</v>
      </c>
      <c r="N189" s="6">
        <v>1162.4000000000001</v>
      </c>
      <c r="O189" s="7">
        <v>2096</v>
      </c>
      <c r="P189" s="6">
        <f t="shared" ref="P189:P192" si="11">O189/O188*100-100</f>
        <v>-4.3577458361852592</v>
      </c>
    </row>
    <row r="190" spans="2:16" s="8" customFormat="1" ht="34.9" hidden="1" customHeight="1">
      <c r="B190" s="15">
        <v>43252</v>
      </c>
      <c r="C190" s="11">
        <v>2116.61</v>
      </c>
      <c r="D190" s="10">
        <v>1017.57</v>
      </c>
      <c r="E190" s="10">
        <v>1198.9100000000001</v>
      </c>
      <c r="F190" s="10">
        <v>65.7</v>
      </c>
      <c r="G190" s="10">
        <v>5863.57</v>
      </c>
      <c r="H190" s="10">
        <v>1310.1600000000001</v>
      </c>
      <c r="I190" s="10">
        <v>23042.93</v>
      </c>
      <c r="J190" s="10">
        <v>1418.64</v>
      </c>
      <c r="K190" s="10">
        <v>797.91</v>
      </c>
      <c r="L190" s="10">
        <v>1383.42</v>
      </c>
      <c r="M190" s="10">
        <v>1618.25</v>
      </c>
      <c r="N190" s="10">
        <v>1162.4000000000001</v>
      </c>
      <c r="O190" s="11">
        <v>2070.44</v>
      </c>
      <c r="P190" s="10">
        <f t="shared" si="11"/>
        <v>-1.2194656488549498</v>
      </c>
    </row>
    <row r="191" spans="2:16" s="8" customFormat="1" ht="34.9" hidden="1" customHeight="1">
      <c r="B191" s="14">
        <v>43282</v>
      </c>
      <c r="C191" s="7">
        <v>2025.6468229306811</v>
      </c>
      <c r="D191" s="6">
        <v>977.14526262022594</v>
      </c>
      <c r="E191" s="6">
        <v>1182.7270010861052</v>
      </c>
      <c r="F191" s="6">
        <v>62.668541560712775</v>
      </c>
      <c r="G191" s="6">
        <v>5558.7393758033986</v>
      </c>
      <c r="H191" s="6">
        <v>1302.4899153647627</v>
      </c>
      <c r="I191" s="6">
        <v>21358.822240519039</v>
      </c>
      <c r="J191" s="6">
        <v>1420.9165687454929</v>
      </c>
      <c r="K191" s="6">
        <v>728.30529109555994</v>
      </c>
      <c r="L191" s="6">
        <v>1310.8542640342407</v>
      </c>
      <c r="M191" s="6">
        <v>1594.5172179926169</v>
      </c>
      <c r="N191" s="6">
        <v>1162.416871274771</v>
      </c>
      <c r="O191" s="7">
        <v>2007.8176774422745</v>
      </c>
      <c r="P191" s="6">
        <f t="shared" si="11"/>
        <v>-3.024590065769857</v>
      </c>
    </row>
    <row r="192" spans="2:16" s="8" customFormat="1" ht="34.9" hidden="1" customHeight="1">
      <c r="B192" s="15">
        <v>43313</v>
      </c>
      <c r="C192" s="11">
        <v>1952.62</v>
      </c>
      <c r="D192" s="10">
        <v>960.02</v>
      </c>
      <c r="E192" s="10">
        <v>1163.79</v>
      </c>
      <c r="F192" s="10">
        <v>59.61</v>
      </c>
      <c r="G192" s="10">
        <v>5863.57</v>
      </c>
      <c r="H192" s="10">
        <v>1291.73</v>
      </c>
      <c r="I192" s="10">
        <v>19917.96</v>
      </c>
      <c r="J192" s="10">
        <v>1393.32</v>
      </c>
      <c r="K192" s="10">
        <v>775.44</v>
      </c>
      <c r="L192" s="10">
        <v>1290.3399999999999</v>
      </c>
      <c r="M192" s="10">
        <v>1647.26</v>
      </c>
      <c r="N192" s="10">
        <v>1162.416871274771</v>
      </c>
      <c r="O192" s="11">
        <v>1985.81</v>
      </c>
      <c r="P192" s="10">
        <f t="shared" si="11"/>
        <v>-1.0960993963510646</v>
      </c>
    </row>
    <row r="193" spans="2:16" s="8" customFormat="1" ht="34.9" hidden="1" customHeight="1">
      <c r="B193" s="14">
        <v>43344</v>
      </c>
      <c r="C193" s="7">
        <v>1981.94</v>
      </c>
      <c r="D193" s="6">
        <v>922.88</v>
      </c>
      <c r="E193" s="6">
        <v>1159.58</v>
      </c>
      <c r="F193" s="6">
        <v>58.08</v>
      </c>
      <c r="G193" s="6">
        <v>5307.7</v>
      </c>
      <c r="H193" s="6">
        <v>1260.77</v>
      </c>
      <c r="I193" s="6">
        <v>20453.599999999999</v>
      </c>
      <c r="J193" s="6">
        <v>1415.62</v>
      </c>
      <c r="K193" s="6">
        <v>781.4</v>
      </c>
      <c r="L193" s="6">
        <v>1278.1099999999999</v>
      </c>
      <c r="M193" s="6">
        <v>1722.74</v>
      </c>
      <c r="N193" s="6">
        <v>1162.416871274771</v>
      </c>
      <c r="O193" s="7">
        <v>1975.63</v>
      </c>
      <c r="P193" s="6">
        <f>O193/O192*100-100</f>
        <v>-0.51263716065483322</v>
      </c>
    </row>
    <row r="194" spans="2:16" s="8" customFormat="1" ht="34.9" hidden="1" customHeight="1">
      <c r="B194" s="15">
        <v>43374</v>
      </c>
      <c r="C194" s="11">
        <v>2058.39</v>
      </c>
      <c r="D194" s="10">
        <v>923.85</v>
      </c>
      <c r="E194" s="10">
        <v>1242.51</v>
      </c>
      <c r="F194" s="10">
        <v>58.85</v>
      </c>
      <c r="G194" s="10">
        <v>4805.62</v>
      </c>
      <c r="H194" s="10">
        <v>1271.51</v>
      </c>
      <c r="I194" s="10">
        <v>21223.68</v>
      </c>
      <c r="J194" s="10">
        <v>1479.16</v>
      </c>
      <c r="K194" s="10">
        <v>926.15</v>
      </c>
      <c r="L194" s="10">
        <v>1303.6500000000001</v>
      </c>
      <c r="M194" s="10">
        <v>1696.56</v>
      </c>
      <c r="N194" s="10">
        <v>1162.416871274771</v>
      </c>
      <c r="O194" s="11">
        <v>1958.68</v>
      </c>
      <c r="P194" s="10">
        <f>O194/O193*100-100</f>
        <v>-0.8579541715807153</v>
      </c>
    </row>
    <row r="195" spans="2:16" s="8" customFormat="1" ht="34.9" hidden="1" customHeight="1">
      <c r="B195" s="14">
        <v>43405</v>
      </c>
      <c r="C195" s="7">
        <v>1832.59</v>
      </c>
      <c r="D195" s="6">
        <v>833.15</v>
      </c>
      <c r="E195" s="6">
        <v>1237.7</v>
      </c>
      <c r="F195" s="6">
        <v>63.43</v>
      </c>
      <c r="G195" s="6">
        <v>4805.62</v>
      </c>
      <c r="H195" s="6">
        <v>1239.79</v>
      </c>
      <c r="I195" s="6">
        <v>18229.59</v>
      </c>
      <c r="J195" s="6">
        <v>1350.77</v>
      </c>
      <c r="K195" s="6">
        <v>784.86</v>
      </c>
      <c r="L195" s="6">
        <v>1002.28</v>
      </c>
      <c r="M195" s="6">
        <v>1572.99</v>
      </c>
      <c r="N195" s="6">
        <v>1162.416871274771</v>
      </c>
      <c r="O195" s="7">
        <v>1863.13</v>
      </c>
      <c r="P195" s="6">
        <f>O195/O194*100-100</f>
        <v>-4.8782853758653744</v>
      </c>
    </row>
    <row r="196" spans="2:16" s="8" customFormat="1" ht="34.9" hidden="1" customHeight="1">
      <c r="B196" s="15">
        <v>43435</v>
      </c>
      <c r="C196" s="11">
        <v>1882.7</v>
      </c>
      <c r="D196" s="10">
        <v>795.32</v>
      </c>
      <c r="E196" s="10">
        <v>1206.21</v>
      </c>
      <c r="F196" s="10">
        <v>63.43</v>
      </c>
      <c r="G196" s="10">
        <v>5038.7299999999996</v>
      </c>
      <c r="H196" s="10">
        <v>1315.71</v>
      </c>
      <c r="I196" s="10">
        <v>19161.27</v>
      </c>
      <c r="J196" s="10">
        <v>1360.35</v>
      </c>
      <c r="K196" s="10">
        <v>744.28</v>
      </c>
      <c r="L196" s="10">
        <v>973.74</v>
      </c>
      <c r="M196" s="10">
        <v>1708.29</v>
      </c>
      <c r="N196" s="10">
        <v>1162.416871274771</v>
      </c>
      <c r="O196" s="11">
        <v>1908.81</v>
      </c>
      <c r="P196" s="10">
        <f>O196/O195*100-100</f>
        <v>2.4517881199916332</v>
      </c>
    </row>
    <row r="197" spans="2:16" s="8" customFormat="1" ht="34.9" hidden="1" customHeight="1">
      <c r="B197" s="3">
        <v>2019</v>
      </c>
      <c r="C197" s="93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3"/>
      <c r="P197" s="94"/>
    </row>
    <row r="198" spans="2:16" s="8" customFormat="1" ht="34.9" hidden="1" customHeight="1">
      <c r="B198" s="14">
        <v>43466</v>
      </c>
      <c r="C198" s="7">
        <v>1945.55</v>
      </c>
      <c r="D198" s="6">
        <v>893.33</v>
      </c>
      <c r="E198" s="6">
        <v>1181.52</v>
      </c>
      <c r="F198" s="6">
        <v>63.43</v>
      </c>
      <c r="G198" s="6">
        <v>5540.81</v>
      </c>
      <c r="H198" s="6">
        <v>1306.1500000000001</v>
      </c>
      <c r="I198" s="6">
        <v>20002.68</v>
      </c>
      <c r="J198" s="6">
        <v>1430.4</v>
      </c>
      <c r="K198" s="6">
        <v>645.88</v>
      </c>
      <c r="L198" s="6">
        <v>1049.1600000000001</v>
      </c>
      <c r="M198" s="6">
        <v>1582.57</v>
      </c>
      <c r="N198" s="6">
        <v>1162.416871274771</v>
      </c>
      <c r="O198" s="7">
        <v>1951.62</v>
      </c>
      <c r="P198" s="6">
        <f>O198/O196*100-100</f>
        <v>2.2427585773335181</v>
      </c>
    </row>
    <row r="199" spans="2:16" s="8" customFormat="1" ht="34.9" hidden="1" customHeight="1">
      <c r="B199" s="15">
        <v>43497</v>
      </c>
      <c r="C199" s="11">
        <v>1966.45</v>
      </c>
      <c r="D199" s="10">
        <v>895.59</v>
      </c>
      <c r="E199" s="10">
        <v>1176.32</v>
      </c>
      <c r="F199" s="10">
        <v>56.55</v>
      </c>
      <c r="G199" s="10">
        <v>5540.81</v>
      </c>
      <c r="H199" s="10">
        <v>1290.18</v>
      </c>
      <c r="I199" s="10">
        <v>20567.47</v>
      </c>
      <c r="J199" s="10">
        <v>1424.42</v>
      </c>
      <c r="K199" s="10">
        <v>633.58000000000004</v>
      </c>
      <c r="L199" s="10">
        <v>1003.86</v>
      </c>
      <c r="M199" s="10">
        <v>1617.23</v>
      </c>
      <c r="N199" s="10">
        <v>1162.416871274771</v>
      </c>
      <c r="O199" s="11">
        <v>1992.12</v>
      </c>
      <c r="P199" s="10">
        <f>O199/O198*100-100</f>
        <v>2.0751990653918142</v>
      </c>
    </row>
    <row r="200" spans="2:16" s="8" customFormat="1" ht="34.9" hidden="1" customHeight="1">
      <c r="B200" s="14">
        <v>43525</v>
      </c>
      <c r="C200" s="7">
        <v>1847.15</v>
      </c>
      <c r="D200" s="6">
        <v>909.44</v>
      </c>
      <c r="E200" s="6">
        <v>1198.32</v>
      </c>
      <c r="F200" s="6">
        <v>70.31</v>
      </c>
      <c r="G200" s="6">
        <v>5540.81</v>
      </c>
      <c r="H200" s="6">
        <v>1301.51</v>
      </c>
      <c r="I200" s="6">
        <v>18138.490000000002</v>
      </c>
      <c r="J200" s="6">
        <v>1396.03</v>
      </c>
      <c r="K200" s="6">
        <v>626.04999999999995</v>
      </c>
      <c r="L200" s="6">
        <v>996.77</v>
      </c>
      <c r="M200" s="6">
        <v>1578.63</v>
      </c>
      <c r="N200" s="6">
        <v>1162.416871274771</v>
      </c>
      <c r="O200" s="7">
        <v>1914.28</v>
      </c>
      <c r="P200" s="6">
        <f>O200/O199*100-100</f>
        <v>-3.907395136839142</v>
      </c>
    </row>
    <row r="201" spans="2:16" s="8" customFormat="1" ht="34.9" hidden="1" customHeight="1">
      <c r="B201" s="15">
        <v>43556</v>
      </c>
      <c r="C201" s="11">
        <v>1796.44</v>
      </c>
      <c r="D201" s="10">
        <v>904.37</v>
      </c>
      <c r="E201" s="10">
        <v>1156.99</v>
      </c>
      <c r="F201" s="10">
        <v>62.67</v>
      </c>
      <c r="G201" s="10">
        <v>5540.81</v>
      </c>
      <c r="H201" s="10">
        <v>1314.13</v>
      </c>
      <c r="I201" s="10">
        <v>17688.88</v>
      </c>
      <c r="J201" s="10">
        <v>1351.14</v>
      </c>
      <c r="K201" s="10">
        <v>560.38</v>
      </c>
      <c r="L201" s="10">
        <v>984.72</v>
      </c>
      <c r="M201" s="10">
        <v>1507.36</v>
      </c>
      <c r="N201" s="10">
        <v>1162.416871274771</v>
      </c>
      <c r="O201" s="11">
        <v>1811.45</v>
      </c>
      <c r="P201" s="10">
        <f>O201/O200*100-100</f>
        <v>-5.3717324529326902</v>
      </c>
    </row>
    <row r="202" spans="2:16" s="8" customFormat="1" ht="34.9" hidden="1" customHeight="1">
      <c r="B202" s="14">
        <v>43586</v>
      </c>
      <c r="C202" s="7">
        <v>1791.21</v>
      </c>
      <c r="D202" s="6">
        <v>903</v>
      </c>
      <c r="E202" s="6">
        <v>1173.23</v>
      </c>
      <c r="F202" s="6">
        <v>57.3</v>
      </c>
      <c r="G202" s="6">
        <v>5540.81</v>
      </c>
      <c r="H202" s="6">
        <v>1331.66</v>
      </c>
      <c r="I202" s="6">
        <v>17677.29</v>
      </c>
      <c r="J202" s="6">
        <v>1351.82</v>
      </c>
      <c r="K202" s="6">
        <v>523.03</v>
      </c>
      <c r="L202" s="6">
        <v>968.25</v>
      </c>
      <c r="M202" s="6">
        <v>1443.98</v>
      </c>
      <c r="N202" s="6">
        <v>1162.416871274771</v>
      </c>
      <c r="O202" s="7">
        <v>1806.5</v>
      </c>
      <c r="P202" s="6">
        <f t="shared" ref="P202:P205" si="12">O202/O201*100-100</f>
        <v>-0.27326175163543098</v>
      </c>
    </row>
    <row r="203" spans="2:16" s="8" customFormat="1" ht="34.9" hidden="1" customHeight="1">
      <c r="B203" s="15">
        <v>43617</v>
      </c>
      <c r="C203" s="11">
        <v>1834.16</v>
      </c>
      <c r="D203" s="10">
        <v>872.67</v>
      </c>
      <c r="E203" s="10">
        <v>1198.55</v>
      </c>
      <c r="F203" s="10">
        <v>57.3</v>
      </c>
      <c r="G203" s="10">
        <v>5540.81</v>
      </c>
      <c r="H203" s="10">
        <v>1351.14</v>
      </c>
      <c r="I203" s="10">
        <v>18121.11</v>
      </c>
      <c r="J203" s="10">
        <v>1393.91</v>
      </c>
      <c r="K203" s="10">
        <v>538.78</v>
      </c>
      <c r="L203" s="10">
        <v>1060.22</v>
      </c>
      <c r="M203" s="10">
        <v>1476.62</v>
      </c>
      <c r="N203" s="10">
        <v>1162.416871274771</v>
      </c>
      <c r="O203" s="11">
        <v>1880.11</v>
      </c>
      <c r="P203" s="10">
        <f t="shared" si="12"/>
        <v>4.0747301411569339</v>
      </c>
    </row>
    <row r="204" spans="2:16" s="8" customFormat="1" ht="34.9" hidden="1" customHeight="1">
      <c r="B204" s="14">
        <v>43647</v>
      </c>
      <c r="C204" s="7">
        <v>1857.35</v>
      </c>
      <c r="D204" s="6">
        <v>823.4</v>
      </c>
      <c r="E204" s="6">
        <v>1217.18</v>
      </c>
      <c r="F204" s="6">
        <v>57.3</v>
      </c>
      <c r="G204" s="6">
        <v>5540.81</v>
      </c>
      <c r="H204" s="6">
        <v>1377.82</v>
      </c>
      <c r="I204" s="6">
        <v>17472.77</v>
      </c>
      <c r="J204" s="6">
        <v>1525.63</v>
      </c>
      <c r="K204" s="6">
        <v>532.96</v>
      </c>
      <c r="L204" s="6">
        <v>1030.3800000000001</v>
      </c>
      <c r="M204" s="6">
        <v>1458.79</v>
      </c>
      <c r="N204" s="6">
        <v>1162.416871274771</v>
      </c>
      <c r="O204" s="7">
        <v>1873.46</v>
      </c>
      <c r="P204" s="6">
        <f t="shared" si="12"/>
        <v>-0.35370270888405742</v>
      </c>
    </row>
    <row r="205" spans="2:16" s="8" customFormat="1" ht="34.9" hidden="1" customHeight="1">
      <c r="B205" s="15">
        <v>43678</v>
      </c>
      <c r="C205" s="11">
        <v>1786.89</v>
      </c>
      <c r="D205" s="10">
        <v>820.29</v>
      </c>
      <c r="E205" s="10">
        <v>1226.18</v>
      </c>
      <c r="F205" s="10">
        <v>57.3</v>
      </c>
      <c r="G205" s="10">
        <v>5540.81</v>
      </c>
      <c r="H205" s="10">
        <v>1388.77</v>
      </c>
      <c r="I205" s="10">
        <v>16951.12</v>
      </c>
      <c r="J205" s="10">
        <v>1411.67</v>
      </c>
      <c r="K205" s="10">
        <v>522.5</v>
      </c>
      <c r="L205" s="10">
        <v>954.29</v>
      </c>
      <c r="M205" s="10">
        <v>1465.71</v>
      </c>
      <c r="N205" s="10">
        <v>1162.416871274771</v>
      </c>
      <c r="O205" s="11">
        <v>1821.11</v>
      </c>
      <c r="P205" s="10">
        <f t="shared" si="12"/>
        <v>-2.7942950476658126</v>
      </c>
    </row>
    <row r="206" spans="2:16" s="8" customFormat="1" ht="34.9" hidden="1" customHeight="1">
      <c r="B206" s="14">
        <v>43709</v>
      </c>
      <c r="C206" s="7">
        <v>1826.69</v>
      </c>
      <c r="D206" s="6">
        <v>814.02</v>
      </c>
      <c r="E206" s="6">
        <v>1233.97</v>
      </c>
      <c r="F206" s="6">
        <v>57.3</v>
      </c>
      <c r="G206" s="6">
        <v>5540.81</v>
      </c>
      <c r="H206" s="6">
        <v>1404.38</v>
      </c>
      <c r="I206" s="6">
        <v>17683.09</v>
      </c>
      <c r="J206" s="6">
        <v>1441.84</v>
      </c>
      <c r="K206" s="6">
        <v>498.09</v>
      </c>
      <c r="L206" s="6">
        <v>982.29</v>
      </c>
      <c r="M206" s="6">
        <v>1473.63</v>
      </c>
      <c r="N206" s="6">
        <v>1162.416871274771</v>
      </c>
      <c r="O206" s="7">
        <v>1827.74</v>
      </c>
      <c r="P206" s="6">
        <f>O206/O205*100-100</f>
        <v>0.36406367545069429</v>
      </c>
    </row>
    <row r="207" spans="2:16" s="8" customFormat="1" ht="34.9" hidden="1" customHeight="1">
      <c r="B207" s="15">
        <v>43739</v>
      </c>
      <c r="C207" s="11">
        <v>1814.63</v>
      </c>
      <c r="D207" s="10">
        <v>901.35</v>
      </c>
      <c r="E207" s="10">
        <v>1237</v>
      </c>
      <c r="F207" s="10">
        <v>57.3</v>
      </c>
      <c r="G207" s="10">
        <v>5540.81</v>
      </c>
      <c r="H207" s="10">
        <v>1417.16</v>
      </c>
      <c r="I207" s="10">
        <v>17377.95</v>
      </c>
      <c r="J207" s="10">
        <v>1411.47</v>
      </c>
      <c r="K207" s="10">
        <v>470.82</v>
      </c>
      <c r="L207" s="10">
        <v>1017.54</v>
      </c>
      <c r="M207" s="10">
        <v>1546.83</v>
      </c>
      <c r="N207" s="10">
        <v>1162.416871274771</v>
      </c>
      <c r="O207" s="11">
        <v>1800.29</v>
      </c>
      <c r="P207" s="10">
        <f>O207/O206*100-100</f>
        <v>-1.5018547495814545</v>
      </c>
    </row>
    <row r="208" spans="2:16" s="8" customFormat="1" ht="34.9" hidden="1" customHeight="1">
      <c r="B208" s="14">
        <v>43770</v>
      </c>
      <c r="C208" s="7">
        <v>1813.04</v>
      </c>
      <c r="D208" s="6">
        <v>894.84</v>
      </c>
      <c r="E208" s="6">
        <v>1204.53</v>
      </c>
      <c r="F208" s="6">
        <v>57.3</v>
      </c>
      <c r="G208" s="6">
        <v>5540.81</v>
      </c>
      <c r="H208" s="6">
        <v>1424.62</v>
      </c>
      <c r="I208" s="6">
        <v>17403.79</v>
      </c>
      <c r="J208" s="6">
        <v>1420.89</v>
      </c>
      <c r="K208" s="6">
        <v>452.35</v>
      </c>
      <c r="L208" s="6">
        <v>1013.41</v>
      </c>
      <c r="M208" s="6">
        <v>1538.13</v>
      </c>
      <c r="N208" s="6">
        <v>1162.416871274771</v>
      </c>
      <c r="O208" s="7">
        <v>1795.21</v>
      </c>
      <c r="P208" s="6">
        <f>O208/O207*100-100</f>
        <v>-0.28217676041082029</v>
      </c>
    </row>
    <row r="209" spans="2:16" s="8" customFormat="1" ht="34.9" hidden="1" customHeight="1">
      <c r="B209" s="15">
        <v>43800</v>
      </c>
      <c r="C209" s="11">
        <v>1856.97</v>
      </c>
      <c r="D209" s="10">
        <v>853.56</v>
      </c>
      <c r="E209" s="10">
        <v>1199.4000000000001</v>
      </c>
      <c r="F209" s="10">
        <v>57.3</v>
      </c>
      <c r="G209" s="10">
        <v>5540.81</v>
      </c>
      <c r="H209" s="10">
        <v>1589.93</v>
      </c>
      <c r="I209" s="10">
        <v>18118.21</v>
      </c>
      <c r="J209" s="10">
        <v>1446.62</v>
      </c>
      <c r="K209" s="10">
        <v>455.47</v>
      </c>
      <c r="L209" s="10">
        <v>952.58</v>
      </c>
      <c r="M209" s="10">
        <v>1497.7</v>
      </c>
      <c r="N209" s="10">
        <v>1162.416871274771</v>
      </c>
      <c r="O209" s="11">
        <v>1815.2</v>
      </c>
      <c r="P209" s="10">
        <f>O209/O208*100-100</f>
        <v>1.1135187526807471</v>
      </c>
    </row>
    <row r="210" spans="2:16" s="8" customFormat="1" ht="34.9" hidden="1" customHeight="1">
      <c r="B210" s="3">
        <v>2020</v>
      </c>
      <c r="C210" s="93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3"/>
      <c r="P210" s="94"/>
    </row>
    <row r="211" spans="2:16" s="8" customFormat="1" ht="34.9" hidden="1" customHeight="1">
      <c r="B211" s="14">
        <v>43831</v>
      </c>
      <c r="C211" s="7">
        <v>1922.6767958563046</v>
      </c>
      <c r="D211" s="6">
        <v>907.61843259443026</v>
      </c>
      <c r="E211" s="6">
        <v>1213.7224868525477</v>
      </c>
      <c r="F211" s="6">
        <v>57.318788012847058</v>
      </c>
      <c r="G211" s="6">
        <v>5540.8079584620973</v>
      </c>
      <c r="H211" s="6">
        <v>1599.8286489025888</v>
      </c>
      <c r="I211" s="6">
        <v>19184.285253697006</v>
      </c>
      <c r="J211" s="6">
        <v>1467.1355520290581</v>
      </c>
      <c r="K211" s="6">
        <v>448.01901963889128</v>
      </c>
      <c r="L211" s="6">
        <v>979.44507683046197</v>
      </c>
      <c r="M211" s="6">
        <v>1602.0875429729963</v>
      </c>
      <c r="N211" s="6">
        <v>1162.416871274771</v>
      </c>
      <c r="O211" s="7">
        <v>1867.9040107684455</v>
      </c>
      <c r="P211" s="6">
        <f>O211/O209*100-100</f>
        <v>2.903482303241816</v>
      </c>
    </row>
    <row r="212" spans="2:16" s="8" customFormat="1" ht="34.9" hidden="1" customHeight="1">
      <c r="B212" s="15">
        <v>43862</v>
      </c>
      <c r="C212" s="11">
        <v>1901.4567846326838</v>
      </c>
      <c r="D212" s="10">
        <v>845.80790480375958</v>
      </c>
      <c r="E212" s="10">
        <v>1194.3253343857862</v>
      </c>
      <c r="F212" s="10">
        <v>57.318788012847058</v>
      </c>
      <c r="G212" s="10">
        <v>5540.8079584620973</v>
      </c>
      <c r="H212" s="10">
        <v>1559.7701397659989</v>
      </c>
      <c r="I212" s="10">
        <v>19714.626398227396</v>
      </c>
      <c r="J212" s="10">
        <v>1400.6125947706516</v>
      </c>
      <c r="K212" s="10">
        <v>439.93008973376686</v>
      </c>
      <c r="L212" s="10">
        <v>973.23135263054075</v>
      </c>
      <c r="M212" s="10">
        <v>1581.4149446751082</v>
      </c>
      <c r="N212" s="10">
        <v>1162.416871274771</v>
      </c>
      <c r="O212" s="11">
        <v>1835.9196572763547</v>
      </c>
      <c r="P212" s="10">
        <f>O212/O211*100-100</f>
        <v>-1.7123124800686469</v>
      </c>
    </row>
    <row r="213" spans="2:16" s="8" customFormat="1" ht="34.9" hidden="1" customHeight="1">
      <c r="B213" s="14" t="s">
        <v>129</v>
      </c>
      <c r="C213" s="7">
        <v>1859.4632821141061</v>
      </c>
      <c r="D213" s="6">
        <v>813.20122278449003</v>
      </c>
      <c r="E213" s="6">
        <v>1186.3202603659681</v>
      </c>
      <c r="F213" s="6">
        <v>57.318788012847058</v>
      </c>
      <c r="G213" s="6">
        <v>5540.8079584620973</v>
      </c>
      <c r="H213" s="6">
        <v>1555.9918246647851</v>
      </c>
      <c r="I213" s="6">
        <v>20109.344066234276</v>
      </c>
      <c r="J213" s="6">
        <v>1283.5211366409692</v>
      </c>
      <c r="K213" s="6">
        <v>432.55375287587634</v>
      </c>
      <c r="L213" s="6">
        <v>942.86585928730119</v>
      </c>
      <c r="M213" s="6">
        <v>1530.2050454877642</v>
      </c>
      <c r="N213" s="6">
        <v>1162.416871274771</v>
      </c>
      <c r="O213" s="7">
        <v>1668.1809691685135</v>
      </c>
      <c r="P213" s="6">
        <f>O213/O212*100-100</f>
        <v>-9.1364939333285946</v>
      </c>
    </row>
    <row r="214" spans="2:16" s="8" customFormat="1" ht="34.9" hidden="1" customHeight="1">
      <c r="B214" s="15">
        <v>43952</v>
      </c>
      <c r="C214" s="11">
        <v>1825.06</v>
      </c>
      <c r="D214" s="10">
        <v>779.61</v>
      </c>
      <c r="E214" s="10">
        <v>1220.3800000000001</v>
      </c>
      <c r="F214" s="10">
        <v>57.318788012847058</v>
      </c>
      <c r="G214" s="10">
        <v>5540.8079584620973</v>
      </c>
      <c r="H214" s="10">
        <v>1581.64</v>
      </c>
      <c r="I214" s="10">
        <v>19256.32</v>
      </c>
      <c r="J214" s="10">
        <v>1285.69</v>
      </c>
      <c r="K214" s="10">
        <v>426.21</v>
      </c>
      <c r="L214" s="10">
        <v>943.21</v>
      </c>
      <c r="M214" s="10">
        <v>1522.92</v>
      </c>
      <c r="N214" s="10">
        <v>1162.416871274771</v>
      </c>
      <c r="O214" s="11">
        <v>1643.31</v>
      </c>
      <c r="P214" s="10">
        <f>O214/O213*100-100</f>
        <v>-1.4909035427319424</v>
      </c>
    </row>
    <row r="215" spans="2:16" s="8" customFormat="1" ht="34.9" hidden="1" customHeight="1">
      <c r="B215" s="14">
        <v>43983</v>
      </c>
      <c r="C215" s="7">
        <v>1791.07</v>
      </c>
      <c r="D215" s="6">
        <v>827.69</v>
      </c>
      <c r="E215" s="6">
        <v>1196.45</v>
      </c>
      <c r="F215" s="6">
        <v>57.318788012847058</v>
      </c>
      <c r="G215" s="6">
        <v>5540.8079584620973</v>
      </c>
      <c r="H215" s="6">
        <v>1584.37</v>
      </c>
      <c r="I215" s="6">
        <v>19233.14</v>
      </c>
      <c r="J215" s="6">
        <v>1210.49</v>
      </c>
      <c r="K215" s="6">
        <v>425.34</v>
      </c>
      <c r="L215" s="6">
        <v>881.07</v>
      </c>
      <c r="M215" s="6">
        <v>1443.76</v>
      </c>
      <c r="N215" s="6">
        <v>1162.416871274771</v>
      </c>
      <c r="O215" s="7">
        <v>1603.04</v>
      </c>
      <c r="P215" s="6">
        <f t="shared" ref="P215:P218" si="13">O215/O214*100-100</f>
        <v>-2.4505418941039778</v>
      </c>
    </row>
    <row r="216" spans="2:16" s="8" customFormat="1" ht="34.9" hidden="1" customHeight="1">
      <c r="B216" s="15">
        <v>44013</v>
      </c>
      <c r="C216" s="11">
        <v>1801.8792494094919</v>
      </c>
      <c r="D216" s="10">
        <v>826.56636150318843</v>
      </c>
      <c r="E216" s="10">
        <v>1292.9770164997831</v>
      </c>
      <c r="F216" s="10">
        <v>57.318788012847058</v>
      </c>
      <c r="G216" s="10">
        <v>5540.8079584620973</v>
      </c>
      <c r="H216" s="10">
        <v>1563.6907431274292</v>
      </c>
      <c r="I216" s="10">
        <v>19273.708262738812</v>
      </c>
      <c r="J216" s="10">
        <v>1229.0681501376121</v>
      </c>
      <c r="K216" s="10">
        <v>427.45034334394643</v>
      </c>
      <c r="L216" s="10">
        <v>900.25785972928054</v>
      </c>
      <c r="M216" s="10">
        <v>1352.6252398045942</v>
      </c>
      <c r="N216" s="10">
        <v>1162.416871274771</v>
      </c>
      <c r="O216" s="11">
        <v>1581.8168777167455</v>
      </c>
      <c r="P216" s="10">
        <f t="shared" si="13"/>
        <v>-1.3239296763184001</v>
      </c>
    </row>
    <row r="217" spans="2:16" s="8" customFormat="1" ht="34.9" hidden="1" customHeight="1">
      <c r="B217" s="14">
        <v>44044</v>
      </c>
      <c r="C217" s="7">
        <v>1817.3738709750996</v>
      </c>
      <c r="D217" s="6">
        <v>831.78711881518018</v>
      </c>
      <c r="E217" s="6">
        <v>1280.8032132294213</v>
      </c>
      <c r="F217" s="6">
        <v>57.318788012847058</v>
      </c>
      <c r="G217" s="6">
        <v>5540.8079584620973</v>
      </c>
      <c r="H217" s="6">
        <v>1559.8629261014457</v>
      </c>
      <c r="I217" s="6">
        <v>19250.527676372203</v>
      </c>
      <c r="J217" s="6">
        <v>1257.7083497188271</v>
      </c>
      <c r="K217" s="6">
        <v>467.6576652702413</v>
      </c>
      <c r="L217" s="6">
        <v>934.91460136107173</v>
      </c>
      <c r="M217" s="6">
        <v>1296.2055773956326</v>
      </c>
      <c r="N217" s="6">
        <v>1162.416871274771</v>
      </c>
      <c r="O217" s="7">
        <v>1573.6614998393072</v>
      </c>
      <c r="P217" s="6">
        <f t="shared" si="13"/>
        <v>-0.51557029086767159</v>
      </c>
    </row>
    <row r="218" spans="2:16" s="8" customFormat="1" ht="34.9" hidden="1" customHeight="1">
      <c r="B218" s="15">
        <v>44075</v>
      </c>
      <c r="C218" s="11">
        <v>1859.6719732340152</v>
      </c>
      <c r="D218" s="10">
        <v>911.89763178411226</v>
      </c>
      <c r="E218" s="10">
        <v>1359.859144057752</v>
      </c>
      <c r="F218" s="10">
        <v>57.318788012847058</v>
      </c>
      <c r="G218" s="10">
        <v>5540.8079584620973</v>
      </c>
      <c r="H218" s="10">
        <v>1640.0280960909074</v>
      </c>
      <c r="I218" s="10">
        <v>19236.039809893071</v>
      </c>
      <c r="J218" s="10">
        <v>1289.7556828583145</v>
      </c>
      <c r="K218" s="10">
        <v>479.9082559063329</v>
      </c>
      <c r="L218" s="10">
        <v>1052.7792004100047</v>
      </c>
      <c r="M218" s="10">
        <v>1309.2254994900084</v>
      </c>
      <c r="N218" s="10">
        <v>1162.416871274771</v>
      </c>
      <c r="O218" s="11">
        <v>1587.7511705080378</v>
      </c>
      <c r="P218" s="10">
        <f t="shared" si="13"/>
        <v>0.8953431643443821</v>
      </c>
    </row>
    <row r="219" spans="2:16" s="8" customFormat="1" ht="34.9" hidden="1" customHeight="1">
      <c r="B219" s="14">
        <v>44105</v>
      </c>
      <c r="C219" s="7">
        <v>1893.222264849049</v>
      </c>
      <c r="D219" s="6">
        <v>907.14272666303668</v>
      </c>
      <c r="E219" s="6">
        <v>1418.4776812729942</v>
      </c>
      <c r="F219" s="6">
        <v>57.318788012847058</v>
      </c>
      <c r="G219" s="6">
        <v>5540.8079584620973</v>
      </c>
      <c r="H219" s="6">
        <v>1721.8145022429803</v>
      </c>
      <c r="I219" s="6">
        <v>20313.258039247117</v>
      </c>
      <c r="J219" s="6">
        <v>1326.4859175451127</v>
      </c>
      <c r="K219" s="6">
        <v>465.89845506180319</v>
      </c>
      <c r="L219" s="6">
        <v>1069.3326633229626</v>
      </c>
      <c r="M219" s="6">
        <v>1226.7659928922951</v>
      </c>
      <c r="N219" s="6">
        <v>1162.416871274771</v>
      </c>
      <c r="O219" s="7">
        <v>1551.3682790338919</v>
      </c>
      <c r="P219" s="6">
        <f>O219/O218*100-100</f>
        <v>-2.2914731319331594</v>
      </c>
    </row>
    <row r="220" spans="2:16" s="8" customFormat="1" ht="34.9" hidden="1" customHeight="1">
      <c r="B220" s="15">
        <v>44136</v>
      </c>
      <c r="C220" s="11">
        <v>1973.3108743241023</v>
      </c>
      <c r="D220" s="10">
        <v>979.63896589078706</v>
      </c>
      <c r="E220" s="10">
        <v>1500.5200498924526</v>
      </c>
      <c r="F220" s="10">
        <v>57.318788012847058</v>
      </c>
      <c r="G220" s="10">
        <v>5540.8079584620973</v>
      </c>
      <c r="H220" s="10">
        <v>1728.8273210592299</v>
      </c>
      <c r="I220" s="10">
        <v>21236.587950121851</v>
      </c>
      <c r="J220" s="10">
        <v>1392.1876690100976</v>
      </c>
      <c r="K220" s="10">
        <v>461.01437147834378</v>
      </c>
      <c r="L220" s="10">
        <v>1044.8338387954152</v>
      </c>
      <c r="M220" s="10">
        <v>1309.2254994900084</v>
      </c>
      <c r="N220" s="10">
        <v>1162.416871274771</v>
      </c>
      <c r="O220" s="11">
        <v>1573.4567397082044</v>
      </c>
      <c r="P220" s="10">
        <f>O220/O219*100-100</f>
        <v>1.4238050998482521</v>
      </c>
    </row>
    <row r="221" spans="2:16" s="8" customFormat="1" ht="34.9" hidden="1" customHeight="1">
      <c r="B221" s="14">
        <v>44166</v>
      </c>
      <c r="C221" s="7">
        <v>2119.7158519837726</v>
      </c>
      <c r="D221" s="6">
        <v>960.11578510052823</v>
      </c>
      <c r="E221" s="6">
        <v>1516.2704136094121</v>
      </c>
      <c r="F221" s="6">
        <v>57.318788012847058</v>
      </c>
      <c r="G221" s="6">
        <v>5540.8079584620973</v>
      </c>
      <c r="H221" s="6">
        <v>1746.711149231325</v>
      </c>
      <c r="I221" s="6">
        <v>25391.572549058819</v>
      </c>
      <c r="J221" s="6">
        <v>1585.3500820883316</v>
      </c>
      <c r="K221" s="6">
        <v>463.28745939548315</v>
      </c>
      <c r="L221" s="6">
        <v>1069.3326633229626</v>
      </c>
      <c r="M221" s="6">
        <v>1330.9253696473013</v>
      </c>
      <c r="N221" s="6">
        <v>1162.416871274771</v>
      </c>
      <c r="O221" s="7">
        <v>1657.2222955369268</v>
      </c>
      <c r="P221" s="6">
        <f>O221/O220*100-100</f>
        <v>5.3236643699690518</v>
      </c>
    </row>
    <row r="222" spans="2:16" s="8" customFormat="1" ht="34.9" hidden="1" customHeight="1">
      <c r="B222" s="3">
        <v>2021</v>
      </c>
      <c r="C222" s="93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3"/>
      <c r="P222" s="94"/>
    </row>
    <row r="223" spans="2:16" s="8" customFormat="1" ht="34.9" hidden="1" customHeight="1">
      <c r="B223" s="14">
        <v>44197</v>
      </c>
      <c r="C223" s="7">
        <v>2260.8523012875835</v>
      </c>
      <c r="D223" s="6">
        <v>990.23564464614435</v>
      </c>
      <c r="E223" s="6">
        <v>1665.8018856962628</v>
      </c>
      <c r="F223" s="6">
        <v>57.318788012847058</v>
      </c>
      <c r="G223" s="6">
        <v>5540.8079584620973</v>
      </c>
      <c r="H223" s="6">
        <v>1778.5547575657581</v>
      </c>
      <c r="I223" s="6">
        <v>29546.557147995711</v>
      </c>
      <c r="J223" s="6">
        <v>1701.3203025832379</v>
      </c>
      <c r="K223" s="6">
        <v>512.09458695818648</v>
      </c>
      <c r="L223" s="6">
        <v>1231.9577217602541</v>
      </c>
      <c r="M223" s="6">
        <v>1296.9289064008758</v>
      </c>
      <c r="N223" s="6">
        <v>1162.416871274771</v>
      </c>
      <c r="O223" s="7">
        <v>1726.8214900372761</v>
      </c>
      <c r="P223" s="6">
        <f>O223/O221*100-100</f>
        <v>4.1997500690032439</v>
      </c>
    </row>
    <row r="224" spans="2:16" s="8" customFormat="1" ht="34.9" hidden="1" customHeight="1">
      <c r="B224" s="15">
        <v>44228</v>
      </c>
      <c r="C224" s="11">
        <v>2488.3007244814207</v>
      </c>
      <c r="D224" s="10">
        <v>990.99276981522223</v>
      </c>
      <c r="E224" s="10">
        <v>1758.9771436034339</v>
      </c>
      <c r="F224" s="10">
        <v>57.318788012847058</v>
      </c>
      <c r="G224" s="10">
        <v>5540.8079584620973</v>
      </c>
      <c r="H224" s="10">
        <v>1796.9314256823902</v>
      </c>
      <c r="I224" s="10">
        <v>26007.125822975391</v>
      </c>
      <c r="J224" s="10">
        <v>2013.715310918275</v>
      </c>
      <c r="K224" s="10">
        <v>479.93702511397623</v>
      </c>
      <c r="L224" s="10">
        <v>1156.3497412315603</v>
      </c>
      <c r="M224" s="10">
        <v>1327.6703891237073</v>
      </c>
      <c r="N224" s="10">
        <v>1162.416871274771</v>
      </c>
      <c r="O224" s="11">
        <v>1761.3570528193306</v>
      </c>
      <c r="P224" s="10">
        <f>O224/O223*100-100</f>
        <v>1.9999497910643242</v>
      </c>
    </row>
    <row r="225" spans="2:16" s="8" customFormat="1" ht="34.9" hidden="1" customHeight="1">
      <c r="B225" s="14">
        <v>44256</v>
      </c>
      <c r="C225" s="7">
        <v>2733.1258238212499</v>
      </c>
      <c r="D225" s="6">
        <v>1034.4267358163809</v>
      </c>
      <c r="E225" s="6">
        <v>1707.3368938973092</v>
      </c>
      <c r="F225" s="6">
        <v>57.318788012847058</v>
      </c>
      <c r="G225" s="6">
        <v>5540.8079584620973</v>
      </c>
      <c r="H225" s="6">
        <v>1836.9158627377747</v>
      </c>
      <c r="I225" s="6">
        <v>23852.689364267375</v>
      </c>
      <c r="J225" s="6">
        <v>2362.3512925631198</v>
      </c>
      <c r="K225" s="6">
        <v>473.21437083085823</v>
      </c>
      <c r="L225" s="6">
        <v>1133.5315464717537</v>
      </c>
      <c r="M225" s="6">
        <v>1260.4007916360993</v>
      </c>
      <c r="N225" s="6">
        <v>1162.416871274771</v>
      </c>
      <c r="O225" s="7">
        <v>1772.2579498398638</v>
      </c>
      <c r="P225" s="6">
        <f>O225/O224*100-100</f>
        <v>0.61889195056077995</v>
      </c>
    </row>
    <row r="226" spans="2:16" s="8" customFormat="1" ht="34.9" hidden="1" customHeight="1">
      <c r="B226" s="15">
        <v>44287</v>
      </c>
      <c r="C226" s="11">
        <v>2785.108721625922</v>
      </c>
      <c r="D226" s="10">
        <v>1064.2162426900743</v>
      </c>
      <c r="E226" s="10">
        <v>1713.9660300656326</v>
      </c>
      <c r="F226" s="10">
        <v>57.318788012847058</v>
      </c>
      <c r="G226" s="10">
        <v>5540.8079584620973</v>
      </c>
      <c r="H226" s="10">
        <v>1948.0224415361804</v>
      </c>
      <c r="I226" s="10">
        <v>17543.268306622453</v>
      </c>
      <c r="J226" s="10">
        <v>2398.7054150264507</v>
      </c>
      <c r="K226" s="10">
        <v>483.42187031278331</v>
      </c>
      <c r="L226" s="10">
        <v>1355.5390194508295</v>
      </c>
      <c r="M226" s="10">
        <v>1271.9740557199889</v>
      </c>
      <c r="N226" s="10">
        <v>1162.416871274771</v>
      </c>
      <c r="O226" s="11">
        <v>1795.3483605538761</v>
      </c>
      <c r="P226" s="10">
        <f>O226/O225*100-100</f>
        <v>1.3028809218262154</v>
      </c>
    </row>
    <row r="227" spans="2:16" s="8" customFormat="1" ht="34.9" hidden="1" customHeight="1">
      <c r="B227" s="14">
        <v>44317</v>
      </c>
      <c r="C227" s="7">
        <v>3321.9425121128743</v>
      </c>
      <c r="D227" s="6">
        <v>1274.3455261111887</v>
      </c>
      <c r="E227" s="6">
        <v>1664.7901385931582</v>
      </c>
      <c r="F227" s="6">
        <v>57.318788012847058</v>
      </c>
      <c r="G227" s="6">
        <v>5540.8079584620973</v>
      </c>
      <c r="H227" s="6">
        <v>1919.1046969571801</v>
      </c>
      <c r="I227" s="6">
        <v>18466.598217497321</v>
      </c>
      <c r="J227" s="6">
        <v>3057.3290141272846</v>
      </c>
      <c r="K227" s="6">
        <v>505.66223684852417</v>
      </c>
      <c r="L227" s="6">
        <v>1569.6059607737973</v>
      </c>
      <c r="M227" s="6">
        <v>1218.9751367316558</v>
      </c>
      <c r="N227" s="6">
        <v>1162.416871274771</v>
      </c>
      <c r="O227" s="7">
        <v>2052.8907733929691</v>
      </c>
      <c r="P227" s="6">
        <f t="shared" ref="P227:P230" si="14">O227/O226*100-100</f>
        <v>14.344982761988305</v>
      </c>
    </row>
    <row r="228" spans="2:16" s="8" customFormat="1" ht="34.9" hidden="1" customHeight="1">
      <c r="B228" s="15">
        <v>44348</v>
      </c>
      <c r="C228" s="11">
        <v>3728.7316309765229</v>
      </c>
      <c r="D228" s="10">
        <v>1208.0350240817249</v>
      </c>
      <c r="E228" s="10">
        <v>1691.734895225831</v>
      </c>
      <c r="F228" s="10">
        <v>57.318788012847058</v>
      </c>
      <c r="G228" s="10">
        <v>5540.8079584620973</v>
      </c>
      <c r="H228" s="10">
        <v>1926.1126152958461</v>
      </c>
      <c r="I228" s="10">
        <v>16466.050077268446</v>
      </c>
      <c r="J228" s="10">
        <v>3637.1977596490956</v>
      </c>
      <c r="K228" s="10">
        <v>588.34002492652928</v>
      </c>
      <c r="L228" s="10">
        <v>1315.1740243637248</v>
      </c>
      <c r="M228" s="10">
        <v>1271.9740557199889</v>
      </c>
      <c r="N228" s="10">
        <v>1162.416871274771</v>
      </c>
      <c r="O228" s="11">
        <v>2098.803629124553</v>
      </c>
      <c r="P228" s="10">
        <f t="shared" si="14"/>
        <v>2.2364977390248839</v>
      </c>
    </row>
    <row r="229" spans="2:16" s="8" customFormat="1" ht="34.9" hidden="1" customHeight="1">
      <c r="B229" s="14">
        <v>44378</v>
      </c>
      <c r="C229" s="7">
        <v>3824.2093617420869</v>
      </c>
      <c r="D229" s="6">
        <v>1278.811815161836</v>
      </c>
      <c r="E229" s="6">
        <v>1769.7552681116247</v>
      </c>
      <c r="F229" s="6">
        <v>57.318788012847058</v>
      </c>
      <c r="G229" s="6">
        <v>5540.8079584620973</v>
      </c>
      <c r="H229" s="6">
        <v>1933.0128698100125</v>
      </c>
      <c r="I229" s="6">
        <v>16773.826714226732</v>
      </c>
      <c r="J229" s="6">
        <v>3722.4272488334705</v>
      </c>
      <c r="K229" s="6">
        <v>571.08891517596749</v>
      </c>
      <c r="L229" s="6">
        <v>1331.055087675941</v>
      </c>
      <c r="M229" s="6">
        <v>1354.4168185907286</v>
      </c>
      <c r="N229" s="6">
        <v>1162.416871274771</v>
      </c>
      <c r="O229" s="7">
        <v>2087.5563580542425</v>
      </c>
      <c r="P229" s="6">
        <f t="shared" si="14"/>
        <v>-0.53588963322890493</v>
      </c>
    </row>
    <row r="230" spans="2:16" s="8" customFormat="1" ht="34.9" hidden="1" customHeight="1">
      <c r="B230" s="15">
        <v>44409</v>
      </c>
      <c r="C230" s="11">
        <v>3645.6785445526498</v>
      </c>
      <c r="D230" s="10">
        <v>1210.1720044887331</v>
      </c>
      <c r="E230" s="10">
        <v>1675.151348437601</v>
      </c>
      <c r="F230" s="10">
        <v>57.318788012847058</v>
      </c>
      <c r="G230" s="10">
        <v>5540.8079584620973</v>
      </c>
      <c r="H230" s="10">
        <v>1914.6856990889589</v>
      </c>
      <c r="I230" s="10">
        <v>16312.161758789302</v>
      </c>
      <c r="J230" s="10">
        <v>3535.6831993768606</v>
      </c>
      <c r="K230" s="10">
        <v>551.94506306749111</v>
      </c>
      <c r="L230" s="10">
        <v>1242.3845658456232</v>
      </c>
      <c r="M230" s="10">
        <v>1319.0842059318402</v>
      </c>
      <c r="N230" s="10">
        <v>1162.416871274771</v>
      </c>
      <c r="O230" s="11">
        <v>2061.7466114140534</v>
      </c>
      <c r="P230" s="10">
        <f t="shared" si="14"/>
        <v>-1.2363616694998143</v>
      </c>
    </row>
    <row r="231" spans="2:16" s="8" customFormat="1" ht="34.9" hidden="1" customHeight="1">
      <c r="B231" s="14">
        <v>44440</v>
      </c>
      <c r="C231" s="7">
        <v>3695.1690534526911</v>
      </c>
      <c r="D231" s="6">
        <v>1125.8467576281903</v>
      </c>
      <c r="E231" s="6">
        <v>1734.9659362387595</v>
      </c>
      <c r="F231" s="6">
        <v>57.318788012847058</v>
      </c>
      <c r="G231" s="6">
        <v>5540.8079584620973</v>
      </c>
      <c r="H231" s="6">
        <v>2011.3449496432031</v>
      </c>
      <c r="I231" s="6">
        <v>18158.821580539028</v>
      </c>
      <c r="J231" s="6">
        <v>3599.3080490418765</v>
      </c>
      <c r="K231" s="6">
        <v>545.906991656218</v>
      </c>
      <c r="L231" s="6">
        <v>1254.6265317330674</v>
      </c>
      <c r="M231" s="6">
        <v>1289.640362049433</v>
      </c>
      <c r="N231" s="6">
        <v>1162.416871274771</v>
      </c>
      <c r="O231" s="7">
        <v>2073.0567123969226</v>
      </c>
      <c r="P231" s="6">
        <f>O231/O230*100-100</f>
        <v>0.54856891337932723</v>
      </c>
    </row>
    <row r="232" spans="2:16" s="8" customFormat="1" ht="34.9" hidden="1" customHeight="1">
      <c r="B232" s="15">
        <v>44470</v>
      </c>
      <c r="C232" s="11">
        <v>3697.2131114905451</v>
      </c>
      <c r="D232" s="10">
        <v>1128.2001992901025</v>
      </c>
      <c r="E232" s="10">
        <v>1780.0339864558416</v>
      </c>
      <c r="F232" s="10">
        <v>57.318788012847058</v>
      </c>
      <c r="G232" s="10">
        <v>5540.8079584620973</v>
      </c>
      <c r="H232" s="10">
        <v>1940.5813169364487</v>
      </c>
      <c r="I232" s="10">
        <v>17235.491669664163</v>
      </c>
      <c r="J232" s="10">
        <v>3605.0334324109626</v>
      </c>
      <c r="K232" s="10">
        <v>607.08196164040839</v>
      </c>
      <c r="L232" s="10">
        <v>1189.7776048710743</v>
      </c>
      <c r="M232" s="10">
        <v>1289.640362049433</v>
      </c>
      <c r="N232" s="10">
        <v>1162.416871274771</v>
      </c>
      <c r="O232" s="11">
        <v>2120.85599945279</v>
      </c>
      <c r="P232" s="10">
        <f>O232/O231*100-100</f>
        <v>2.3057394797752835</v>
      </c>
    </row>
    <row r="233" spans="2:16" s="8" customFormat="1" ht="34.9" hidden="1" customHeight="1">
      <c r="B233" s="14">
        <v>44501</v>
      </c>
      <c r="C233" s="7">
        <v>3601.889576450716</v>
      </c>
      <c r="D233" s="6">
        <v>1081.1313660518563</v>
      </c>
      <c r="E233" s="6">
        <v>1762.1620265792019</v>
      </c>
      <c r="F233" s="6">
        <v>57.318788012847058</v>
      </c>
      <c r="G233" s="6">
        <v>5540.8079584620973</v>
      </c>
      <c r="H233" s="6">
        <v>1887.7372340140873</v>
      </c>
      <c r="I233" s="6">
        <v>16773.826714226732</v>
      </c>
      <c r="J233" s="6">
        <v>3501.629316418956</v>
      </c>
      <c r="K233" s="6">
        <v>637.49372931168966</v>
      </c>
      <c r="L233" s="6">
        <v>1145.1111755526335</v>
      </c>
      <c r="M233" s="6">
        <v>1295.5291308259145</v>
      </c>
      <c r="N233" s="6">
        <v>1162.416871274771</v>
      </c>
      <c r="O233" s="7">
        <v>2057.7383401021939</v>
      </c>
      <c r="P233" s="6">
        <f>O233/O232*100-100</f>
        <v>-2.9760464344058022</v>
      </c>
    </row>
    <row r="234" spans="2:16" s="8" customFormat="1" ht="34.9" hidden="1" customHeight="1">
      <c r="B234" s="15">
        <v>44531</v>
      </c>
      <c r="C234" s="11">
        <v>3665.8922577928997</v>
      </c>
      <c r="D234" s="10">
        <v>1069.5628248955732</v>
      </c>
      <c r="E234" s="10">
        <v>1794.7669655109867</v>
      </c>
      <c r="F234" s="10">
        <v>57.318788012847058</v>
      </c>
      <c r="G234" s="10">
        <v>5540.8079584620973</v>
      </c>
      <c r="H234" s="10">
        <v>1896.5373985360586</v>
      </c>
      <c r="I234" s="10">
        <v>14003.836981602137</v>
      </c>
      <c r="J234" s="10">
        <v>3588.9431537577143</v>
      </c>
      <c r="K234" s="10">
        <v>666.77053156075578</v>
      </c>
      <c r="L234" s="10">
        <v>1145.1111755526335</v>
      </c>
      <c r="M234" s="10">
        <v>1289.640362049433</v>
      </c>
      <c r="N234" s="10">
        <v>1162.416871274771</v>
      </c>
      <c r="O234" s="11">
        <v>2118.6494015799271</v>
      </c>
      <c r="P234" s="10">
        <f>O234/O233*100-100</f>
        <v>2.9600975153482523</v>
      </c>
    </row>
    <row r="235" spans="2:16" s="8" customFormat="1" ht="34.9" hidden="1" customHeight="1">
      <c r="B235" s="3">
        <v>2022</v>
      </c>
      <c r="C235" s="93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3"/>
      <c r="P235" s="94"/>
    </row>
    <row r="236" spans="2:16" s="8" customFormat="1" ht="34.9" hidden="1" customHeight="1">
      <c r="B236" s="14">
        <v>44562</v>
      </c>
      <c r="C236" s="7">
        <v>3590.6</v>
      </c>
      <c r="D236" s="6">
        <v>1085.68</v>
      </c>
      <c r="E236" s="6">
        <v>1745.63</v>
      </c>
      <c r="F236" s="6">
        <v>57.32</v>
      </c>
      <c r="G236" s="6">
        <v>5540.81</v>
      </c>
      <c r="H236" s="6">
        <v>1855.42</v>
      </c>
      <c r="I236" s="6">
        <v>12157.18</v>
      </c>
      <c r="J236" s="6">
        <v>3507.69</v>
      </c>
      <c r="K236" s="6">
        <v>620.62</v>
      </c>
      <c r="L236" s="6">
        <v>1157.3499999999999</v>
      </c>
      <c r="M236" s="6">
        <v>1307.31</v>
      </c>
      <c r="N236" s="6">
        <v>1162.42</v>
      </c>
      <c r="O236" s="7">
        <v>2164.92</v>
      </c>
      <c r="P236" s="6">
        <f>O236/O234*100-100</f>
        <v>2.183966747191306</v>
      </c>
    </row>
    <row r="237" spans="2:16" s="8" customFormat="1" ht="34.9" hidden="1" customHeight="1">
      <c r="B237" s="15">
        <v>44593</v>
      </c>
      <c r="C237" s="11">
        <v>3715.04</v>
      </c>
      <c r="D237" s="10">
        <v>1038.02</v>
      </c>
      <c r="E237" s="10">
        <v>1652.6</v>
      </c>
      <c r="F237" s="10">
        <v>57.32</v>
      </c>
      <c r="G237" s="10">
        <v>5540.81</v>
      </c>
      <c r="H237" s="10">
        <v>1837.98</v>
      </c>
      <c r="I237" s="10">
        <v>9864.91</v>
      </c>
      <c r="J237" s="10">
        <v>3730.02</v>
      </c>
      <c r="K237" s="10">
        <v>581.04</v>
      </c>
      <c r="L237" s="10">
        <v>1145.1099999999999</v>
      </c>
      <c r="M237" s="10">
        <v>1313.2</v>
      </c>
      <c r="N237" s="10">
        <v>1162.42</v>
      </c>
      <c r="O237" s="11">
        <v>2148.34</v>
      </c>
      <c r="P237" s="10">
        <f>O237/O236*100-100</f>
        <v>-0.76584816067105521</v>
      </c>
    </row>
    <row r="238" spans="2:16" s="8" customFormat="1" ht="34.9" hidden="1" customHeight="1">
      <c r="B238" s="14">
        <v>44621</v>
      </c>
      <c r="C238" s="7">
        <v>4591.8999999999996</v>
      </c>
      <c r="D238" s="6">
        <v>1002.76</v>
      </c>
      <c r="E238" s="6">
        <v>1642.22</v>
      </c>
      <c r="F238" s="6">
        <v>57.32</v>
      </c>
      <c r="G238" s="6">
        <v>5540.81</v>
      </c>
      <c r="H238" s="6">
        <v>1807.26</v>
      </c>
      <c r="I238" s="6">
        <v>5898.61</v>
      </c>
      <c r="J238" s="6">
        <v>4985.4799999999996</v>
      </c>
      <c r="K238" s="6">
        <v>523.63</v>
      </c>
      <c r="L238" s="6">
        <v>1112.69</v>
      </c>
      <c r="M238" s="6">
        <v>1342.64</v>
      </c>
      <c r="N238" s="6">
        <v>1162.42</v>
      </c>
      <c r="O238" s="7">
        <v>2228.12</v>
      </c>
      <c r="P238" s="6">
        <f>O238/O237*100-100</f>
        <v>3.7135648919630881</v>
      </c>
    </row>
    <row r="239" spans="2:16" s="8" customFormat="1" ht="34.9" hidden="1" customHeight="1">
      <c r="B239" s="15">
        <v>44652</v>
      </c>
      <c r="C239" s="11">
        <v>5415.02</v>
      </c>
      <c r="D239" s="10">
        <v>948.82</v>
      </c>
      <c r="E239" s="10">
        <v>1662.47</v>
      </c>
      <c r="F239" s="10">
        <v>57.32</v>
      </c>
      <c r="G239" s="10">
        <v>5540.81</v>
      </c>
      <c r="H239" s="10">
        <v>1641.88</v>
      </c>
      <c r="I239" s="10">
        <v>5491.81</v>
      </c>
      <c r="J239" s="10">
        <v>6202.54</v>
      </c>
      <c r="K239" s="10">
        <v>536.63</v>
      </c>
      <c r="L239" s="10">
        <v>1031.96</v>
      </c>
      <c r="M239" s="10">
        <v>1283.75</v>
      </c>
      <c r="N239" s="10">
        <v>1162.42</v>
      </c>
      <c r="O239" s="11">
        <v>2408.0700000000002</v>
      </c>
      <c r="P239" s="10">
        <f>O239/O238*100-100</f>
        <v>8.0763154587724273</v>
      </c>
    </row>
    <row r="240" spans="2:16" s="8" customFormat="1" ht="34.9" hidden="1" customHeight="1">
      <c r="B240" s="14">
        <v>44682</v>
      </c>
      <c r="C240" s="7">
        <v>5794.14</v>
      </c>
      <c r="D240" s="6">
        <v>928.8</v>
      </c>
      <c r="E240" s="6">
        <v>1608.18</v>
      </c>
      <c r="F240" s="6">
        <v>57.32</v>
      </c>
      <c r="G240" s="6">
        <v>5540.81</v>
      </c>
      <c r="H240" s="6">
        <v>1621.63</v>
      </c>
      <c r="I240" s="6">
        <v>5695.21</v>
      </c>
      <c r="J240" s="6">
        <v>6758.43</v>
      </c>
      <c r="K240" s="6">
        <v>513.19000000000005</v>
      </c>
      <c r="L240" s="6">
        <v>999.53</v>
      </c>
      <c r="M240" s="6">
        <v>1301.42</v>
      </c>
      <c r="N240" s="6">
        <v>1162.42</v>
      </c>
      <c r="O240" s="7">
        <v>2472.5100000000002</v>
      </c>
      <c r="P240" s="6">
        <f t="shared" ref="P240:P243" si="15">O240/O239*100-100</f>
        <v>2.6760019434651099</v>
      </c>
    </row>
    <row r="241" spans="2:16" s="8" customFormat="1" ht="34.9" hidden="1" customHeight="1">
      <c r="B241" s="15">
        <v>44713</v>
      </c>
      <c r="C241" s="11">
        <v>5607.55</v>
      </c>
      <c r="D241" s="10">
        <v>905.17</v>
      </c>
      <c r="E241" s="10">
        <v>1600.6</v>
      </c>
      <c r="F241" s="10">
        <v>57.32</v>
      </c>
      <c r="G241" s="10">
        <v>5540.81</v>
      </c>
      <c r="H241" s="10">
        <v>1615.05</v>
      </c>
      <c r="I241" s="10">
        <v>10170.01</v>
      </c>
      <c r="J241" s="10">
        <v>6491.52</v>
      </c>
      <c r="K241" s="10">
        <v>519.15</v>
      </c>
      <c r="L241" s="10">
        <v>1011.77</v>
      </c>
      <c r="M241" s="10">
        <v>1342.64</v>
      </c>
      <c r="N241" s="10">
        <v>1162.42</v>
      </c>
      <c r="O241" s="11">
        <v>2476.0300000000002</v>
      </c>
      <c r="P241" s="10">
        <f t="shared" si="15"/>
        <v>0.14236545049361382</v>
      </c>
    </row>
    <row r="242" spans="2:16" s="8" customFormat="1" ht="34.9" hidden="1" customHeight="1">
      <c r="B242" s="14">
        <v>44743</v>
      </c>
      <c r="C242" s="7">
        <v>5777.3</v>
      </c>
      <c r="D242" s="6">
        <v>1003.35</v>
      </c>
      <c r="E242" s="6">
        <v>1608.23</v>
      </c>
      <c r="F242" s="6">
        <v>57.32</v>
      </c>
      <c r="G242" s="6">
        <v>5540.81</v>
      </c>
      <c r="H242" s="6">
        <v>1603.83</v>
      </c>
      <c r="I242" s="6">
        <v>8644.51</v>
      </c>
      <c r="J242" s="6">
        <v>6709.73</v>
      </c>
      <c r="K242" s="6">
        <v>516.58000000000004</v>
      </c>
      <c r="L242" s="6">
        <v>947.74</v>
      </c>
      <c r="M242" s="6">
        <v>1324.97</v>
      </c>
      <c r="N242" s="6">
        <v>1162.42</v>
      </c>
      <c r="O242" s="7">
        <v>2607.1</v>
      </c>
      <c r="P242" s="6">
        <f t="shared" si="15"/>
        <v>5.2935546015193466</v>
      </c>
    </row>
    <row r="243" spans="2:16" s="8" customFormat="1" ht="34.9" hidden="1" customHeight="1">
      <c r="B243" s="15">
        <v>44774</v>
      </c>
      <c r="C243" s="11">
        <v>5683</v>
      </c>
      <c r="D243" s="10">
        <v>987.94</v>
      </c>
      <c r="E243" s="10">
        <v>1624.23</v>
      </c>
      <c r="F243" s="10">
        <v>57.32</v>
      </c>
      <c r="G243" s="10">
        <v>5540.81</v>
      </c>
      <c r="H243" s="10">
        <v>1555.56</v>
      </c>
      <c r="I243" s="10">
        <v>9051.31</v>
      </c>
      <c r="J243" s="10">
        <v>6576.2</v>
      </c>
      <c r="K243" s="10">
        <v>570.1</v>
      </c>
      <c r="L243" s="10">
        <v>949.86</v>
      </c>
      <c r="M243" s="10">
        <v>1313.2</v>
      </c>
      <c r="N243" s="10">
        <v>1162.42</v>
      </c>
      <c r="O243" s="11">
        <v>2546.9499999999998</v>
      </c>
      <c r="P243" s="10">
        <f t="shared" si="15"/>
        <v>-2.3071612136089925</v>
      </c>
    </row>
    <row r="244" spans="2:16" s="8" customFormat="1" ht="34.9" hidden="1" customHeight="1">
      <c r="B244" s="14">
        <v>44805</v>
      </c>
      <c r="C244" s="7">
        <v>5444.64</v>
      </c>
      <c r="D244" s="6">
        <v>953.82</v>
      </c>
      <c r="E244" s="6">
        <v>1595.64</v>
      </c>
      <c r="F244" s="6">
        <v>57.32</v>
      </c>
      <c r="G244" s="6">
        <v>5540.81</v>
      </c>
      <c r="H244" s="6">
        <v>1500.56</v>
      </c>
      <c r="I244" s="6">
        <v>8746.2099999999991</v>
      </c>
      <c r="J244" s="6">
        <v>6271.78</v>
      </c>
      <c r="K244" s="6">
        <v>572.85</v>
      </c>
      <c r="L244" s="6">
        <v>929.23</v>
      </c>
      <c r="M244" s="6">
        <v>1295.53</v>
      </c>
      <c r="N244" s="6">
        <v>1162.42</v>
      </c>
      <c r="O244" s="7">
        <v>2483.64</v>
      </c>
      <c r="P244" s="6">
        <f>O244/O243*100-100</f>
        <v>-2.4857182119790195</v>
      </c>
    </row>
    <row r="245" spans="2:16" s="8" customFormat="1" ht="34.9" hidden="1" customHeight="1">
      <c r="B245" s="15">
        <v>44835</v>
      </c>
      <c r="C245" s="11">
        <v>5250.01</v>
      </c>
      <c r="D245" s="10">
        <v>916.96</v>
      </c>
      <c r="E245" s="10">
        <v>1552.59</v>
      </c>
      <c r="F245" s="10">
        <v>57.32</v>
      </c>
      <c r="G245" s="10">
        <v>5540.81</v>
      </c>
      <c r="H245" s="10">
        <v>1483.65</v>
      </c>
      <c r="I245" s="10">
        <v>8237.7099999999991</v>
      </c>
      <c r="J245" s="10">
        <v>6030.19</v>
      </c>
      <c r="K245" s="10">
        <v>563.74</v>
      </c>
      <c r="L245" s="10">
        <v>906.47</v>
      </c>
      <c r="M245" s="10">
        <v>1277.8599999999999</v>
      </c>
      <c r="N245" s="10">
        <v>1162.42</v>
      </c>
      <c r="O245" s="11">
        <v>2441.9699999999998</v>
      </c>
      <c r="P245" s="10">
        <f>O245/O244*100-100</f>
        <v>-1.6777793883171483</v>
      </c>
    </row>
    <row r="246" spans="2:16" s="8" customFormat="1" ht="34.9" hidden="1" customHeight="1">
      <c r="B246" s="14">
        <v>44866</v>
      </c>
      <c r="C246" s="7">
        <v>5289.39</v>
      </c>
      <c r="D246" s="6">
        <v>939.72</v>
      </c>
      <c r="E246" s="6">
        <v>1603.92</v>
      </c>
      <c r="F246" s="6">
        <v>57.32</v>
      </c>
      <c r="G246" s="6">
        <v>5540.81</v>
      </c>
      <c r="H246" s="6">
        <v>1493.85</v>
      </c>
      <c r="I246" s="6">
        <v>7424.11</v>
      </c>
      <c r="J246" s="6">
        <v>6080.65</v>
      </c>
      <c r="K246" s="6">
        <v>553.29999999999995</v>
      </c>
      <c r="L246" s="6">
        <v>853.82</v>
      </c>
      <c r="M246" s="6">
        <v>1224.8599999999999</v>
      </c>
      <c r="N246" s="6">
        <v>1162.42</v>
      </c>
      <c r="O246" s="7">
        <v>2492.9</v>
      </c>
      <c r="P246" s="6">
        <f>O246/O245*100-100</f>
        <v>2.0856112073448969</v>
      </c>
    </row>
    <row r="247" spans="2:16" s="8" customFormat="1" ht="34.9" hidden="1" customHeight="1">
      <c r="B247" s="15">
        <v>44896</v>
      </c>
      <c r="C247" s="11">
        <v>5292.28</v>
      </c>
      <c r="D247" s="10">
        <v>945.46</v>
      </c>
      <c r="E247" s="10">
        <v>1599.48</v>
      </c>
      <c r="F247" s="10">
        <v>57.32</v>
      </c>
      <c r="G247" s="10">
        <v>5540.81</v>
      </c>
      <c r="H247" s="10">
        <v>1512.71</v>
      </c>
      <c r="I247" s="10">
        <v>7424.11</v>
      </c>
      <c r="J247" s="10">
        <v>6068.27</v>
      </c>
      <c r="K247" s="10">
        <v>564.25</v>
      </c>
      <c r="L247" s="10">
        <v>885.83</v>
      </c>
      <c r="M247" s="10">
        <v>1260.2</v>
      </c>
      <c r="N247" s="10">
        <v>1162.42</v>
      </c>
      <c r="O247" s="11">
        <v>2501.6</v>
      </c>
      <c r="P247" s="10">
        <f>O247/O246*100-100</f>
        <v>0.34899113482289579</v>
      </c>
    </row>
    <row r="248" spans="2:16" s="8" customFormat="1" ht="34.9" hidden="1" customHeight="1">
      <c r="B248" s="3">
        <v>2023</v>
      </c>
      <c r="C248" s="93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3"/>
      <c r="P248" s="94"/>
    </row>
    <row r="249" spans="2:16" s="8" customFormat="1" ht="34.9" hidden="1" customHeight="1">
      <c r="B249" s="14">
        <v>44927</v>
      </c>
      <c r="C249" s="7">
        <v>6001.81</v>
      </c>
      <c r="D249" s="6">
        <v>945.98</v>
      </c>
      <c r="E249" s="6">
        <v>1596.3</v>
      </c>
      <c r="F249" s="6">
        <v>57.32</v>
      </c>
      <c r="G249" s="6">
        <v>5540.81</v>
      </c>
      <c r="H249" s="6">
        <v>1489.61</v>
      </c>
      <c r="I249" s="6">
        <v>6407.11</v>
      </c>
      <c r="J249" s="6">
        <v>7115.15</v>
      </c>
      <c r="K249" s="6">
        <v>570.82000000000005</v>
      </c>
      <c r="L249" s="6">
        <v>853.82</v>
      </c>
      <c r="M249" s="6">
        <v>1307.31</v>
      </c>
      <c r="N249" s="6">
        <v>1162.42</v>
      </c>
      <c r="O249" s="7">
        <v>2676.5</v>
      </c>
      <c r="P249" s="6">
        <f>O249/O247*100-100</f>
        <v>6.9915254237288309</v>
      </c>
    </row>
    <row r="250" spans="2:16" s="8" customFormat="1" ht="34.9" hidden="1" customHeight="1">
      <c r="B250" s="15">
        <v>44958</v>
      </c>
      <c r="C250" s="11">
        <v>6049.63</v>
      </c>
      <c r="D250" s="10">
        <v>948.93</v>
      </c>
      <c r="E250" s="10">
        <v>1575.77</v>
      </c>
      <c r="F250" s="10">
        <v>57.32</v>
      </c>
      <c r="G250" s="10">
        <v>5540.81</v>
      </c>
      <c r="H250" s="10">
        <v>1460.99</v>
      </c>
      <c r="I250" s="10">
        <v>10475.11</v>
      </c>
      <c r="J250" s="10">
        <v>7176.92</v>
      </c>
      <c r="K250" s="10">
        <v>572.41</v>
      </c>
      <c r="L250" s="10">
        <v>872.33</v>
      </c>
      <c r="M250" s="10">
        <v>1319.08</v>
      </c>
      <c r="N250" s="10">
        <v>1162.42</v>
      </c>
      <c r="O250" s="11">
        <v>2655.08</v>
      </c>
      <c r="P250" s="10">
        <f t="shared" ref="P250:P256" si="16">O250/O249*100-100</f>
        <v>-0.80029889781431507</v>
      </c>
    </row>
    <row r="251" spans="2:16" s="8" customFormat="1" ht="34.9" hidden="1" customHeight="1">
      <c r="B251" s="14">
        <v>44986</v>
      </c>
      <c r="C251" s="7">
        <v>5670.32</v>
      </c>
      <c r="D251" s="6">
        <v>958.16</v>
      </c>
      <c r="E251" s="6">
        <v>1474.29</v>
      </c>
      <c r="F251" s="6">
        <v>57.32</v>
      </c>
      <c r="G251" s="6">
        <v>5540.81</v>
      </c>
      <c r="H251" s="6">
        <v>1414.24</v>
      </c>
      <c r="I251" s="6">
        <v>8034.31</v>
      </c>
      <c r="J251" s="6">
        <v>6665.53</v>
      </c>
      <c r="K251" s="6">
        <v>570.62</v>
      </c>
      <c r="L251" s="6">
        <v>831.06</v>
      </c>
      <c r="M251" s="6">
        <v>1295.53</v>
      </c>
      <c r="N251" s="6">
        <v>1162.42</v>
      </c>
      <c r="O251" s="7">
        <v>2601.1999999999998</v>
      </c>
      <c r="P251" s="6">
        <f t="shared" si="16"/>
        <v>-2.0293173840336323</v>
      </c>
    </row>
    <row r="252" spans="2:16" s="8" customFormat="1" ht="34.9" hidden="1" customHeight="1">
      <c r="B252" s="15">
        <v>45017</v>
      </c>
      <c r="C252" s="11">
        <v>5127.25</v>
      </c>
      <c r="D252" s="10">
        <v>976.26</v>
      </c>
      <c r="E252" s="10">
        <v>1478.58</v>
      </c>
      <c r="F252" s="10">
        <v>57.32</v>
      </c>
      <c r="G252" s="10">
        <v>5540.81</v>
      </c>
      <c r="H252" s="10">
        <v>1417.02</v>
      </c>
      <c r="I252" s="10">
        <v>8339.41</v>
      </c>
      <c r="J252" s="10">
        <v>5858.07</v>
      </c>
      <c r="K252" s="10">
        <v>569.72</v>
      </c>
      <c r="L252" s="10">
        <v>831.06</v>
      </c>
      <c r="M252" s="10">
        <v>1213.0899999999999</v>
      </c>
      <c r="N252" s="10">
        <v>1162.42</v>
      </c>
      <c r="O252" s="11">
        <v>2461.48</v>
      </c>
      <c r="P252" s="10">
        <f t="shared" si="16"/>
        <v>-5.3713670613562954</v>
      </c>
    </row>
    <row r="253" spans="2:16" s="8" customFormat="1" ht="34.9" hidden="1" customHeight="1">
      <c r="B253" s="14">
        <v>45047</v>
      </c>
      <c r="C253" s="7">
        <v>5292.89</v>
      </c>
      <c r="D253" s="6">
        <v>1107.1099999999999</v>
      </c>
      <c r="E253" s="6">
        <v>1476.59</v>
      </c>
      <c r="F253" s="6">
        <v>57.32</v>
      </c>
      <c r="G253" s="6">
        <v>5540.81</v>
      </c>
      <c r="H253" s="6">
        <v>1366.24</v>
      </c>
      <c r="I253" s="6">
        <v>7830.91</v>
      </c>
      <c r="J253" s="6">
        <v>6023.19</v>
      </c>
      <c r="K253" s="6">
        <v>626.78</v>
      </c>
      <c r="L253" s="6">
        <v>881.59</v>
      </c>
      <c r="M253" s="6">
        <v>1236.6400000000001</v>
      </c>
      <c r="N253" s="6">
        <v>1162.42</v>
      </c>
      <c r="O253" s="7">
        <v>2481.35</v>
      </c>
      <c r="P253" s="6">
        <f t="shared" si="16"/>
        <v>0.80723792190065069</v>
      </c>
    </row>
    <row r="254" spans="2:16" s="8" customFormat="1" ht="34.9" hidden="1" customHeight="1">
      <c r="B254" s="15">
        <v>45078</v>
      </c>
      <c r="C254" s="11">
        <v>5217.57</v>
      </c>
      <c r="D254" s="10">
        <v>1108.99</v>
      </c>
      <c r="E254" s="10">
        <v>1451.15</v>
      </c>
      <c r="F254" s="10">
        <v>57.32</v>
      </c>
      <c r="G254" s="10">
        <v>5540.81</v>
      </c>
      <c r="H254" s="10">
        <v>1346.17</v>
      </c>
      <c r="I254" s="10">
        <v>7017.31</v>
      </c>
      <c r="J254" s="10">
        <v>5890.65</v>
      </c>
      <c r="K254" s="10">
        <v>685.4</v>
      </c>
      <c r="L254" s="10">
        <v>892.97</v>
      </c>
      <c r="M254" s="10">
        <v>1260.2</v>
      </c>
      <c r="N254" s="10">
        <v>1162.42</v>
      </c>
      <c r="O254" s="11">
        <v>2465.52</v>
      </c>
      <c r="P254" s="10">
        <f t="shared" si="16"/>
        <v>-0.63795917544884162</v>
      </c>
    </row>
    <row r="255" spans="2:16" s="8" customFormat="1" ht="34.9" hidden="1" customHeight="1">
      <c r="B255" s="14">
        <v>45108</v>
      </c>
      <c r="C255" s="7">
        <v>5015.79</v>
      </c>
      <c r="D255" s="6">
        <v>1024.03</v>
      </c>
      <c r="E255" s="6">
        <v>1453.61</v>
      </c>
      <c r="F255" s="6">
        <v>57.32</v>
      </c>
      <c r="G255" s="6">
        <v>5540.81</v>
      </c>
      <c r="H255" s="6">
        <v>1330.09</v>
      </c>
      <c r="I255" s="6">
        <v>7119.01</v>
      </c>
      <c r="J255" s="6">
        <v>5661.16</v>
      </c>
      <c r="K255" s="6">
        <v>628.6</v>
      </c>
      <c r="L255" s="6">
        <v>881.59</v>
      </c>
      <c r="M255" s="6">
        <v>1277.8599999999999</v>
      </c>
      <c r="N255" s="6">
        <v>1162.42</v>
      </c>
      <c r="O255" s="7">
        <v>2445.9</v>
      </c>
      <c r="P255" s="6">
        <f t="shared" si="16"/>
        <v>-0.79577533339822537</v>
      </c>
    </row>
    <row r="256" spans="2:16" s="8" customFormat="1" ht="34.9" hidden="1" customHeight="1">
      <c r="B256" s="15">
        <v>45139</v>
      </c>
      <c r="C256" s="11">
        <v>4840.8900000000003</v>
      </c>
      <c r="D256" s="10">
        <v>985.48</v>
      </c>
      <c r="E256" s="10">
        <v>1410.22</v>
      </c>
      <c r="F256" s="10">
        <v>57.32</v>
      </c>
      <c r="G256" s="10">
        <v>5540.81</v>
      </c>
      <c r="H256" s="10">
        <v>1306.07</v>
      </c>
      <c r="I256" s="10">
        <v>8034.31</v>
      </c>
      <c r="J256" s="10">
        <v>5476.04</v>
      </c>
      <c r="K256" s="10">
        <v>553.48</v>
      </c>
      <c r="L256" s="10">
        <v>881.59</v>
      </c>
      <c r="M256" s="10">
        <v>1236.6400000000001</v>
      </c>
      <c r="N256" s="10">
        <v>1162.42</v>
      </c>
      <c r="O256" s="11">
        <v>2408.69</v>
      </c>
      <c r="P256" s="10">
        <f t="shared" si="16"/>
        <v>-1.5213213949875239</v>
      </c>
    </row>
    <row r="257" spans="2:16" s="8" customFormat="1" ht="34.9" hidden="1" customHeight="1">
      <c r="B257" s="14">
        <v>45170</v>
      </c>
      <c r="C257" s="7">
        <v>4870.72</v>
      </c>
      <c r="D257" s="6">
        <v>1024.83</v>
      </c>
      <c r="E257" s="6">
        <v>1423.25</v>
      </c>
      <c r="F257" s="6">
        <v>57.32</v>
      </c>
      <c r="G257" s="6">
        <v>5540.81</v>
      </c>
      <c r="H257" s="6">
        <v>1374.95</v>
      </c>
      <c r="I257" s="6">
        <v>9458.11</v>
      </c>
      <c r="J257" s="6">
        <v>5413.21</v>
      </c>
      <c r="K257" s="6">
        <v>657.07</v>
      </c>
      <c r="L257" s="6">
        <v>881.59</v>
      </c>
      <c r="M257" s="6">
        <v>1295.53</v>
      </c>
      <c r="N257" s="6">
        <v>1162.42</v>
      </c>
      <c r="O257" s="7">
        <v>2414.02</v>
      </c>
      <c r="P257" s="6">
        <f>O257/O256*100-100</f>
        <v>0.22128210770169687</v>
      </c>
    </row>
    <row r="258" spans="2:16" s="8" customFormat="1" ht="34.9" hidden="1" customHeight="1">
      <c r="B258" s="15">
        <v>45200</v>
      </c>
      <c r="C258" s="11">
        <v>4737.68</v>
      </c>
      <c r="D258" s="10">
        <v>962.45</v>
      </c>
      <c r="E258" s="10">
        <v>1362.52</v>
      </c>
      <c r="F258" s="10">
        <v>57.32</v>
      </c>
      <c r="G258" s="10">
        <v>5540.81</v>
      </c>
      <c r="H258" s="10">
        <v>1426.73</v>
      </c>
      <c r="I258" s="10">
        <v>8034.31</v>
      </c>
      <c r="J258" s="10">
        <v>5248.73</v>
      </c>
      <c r="K258" s="10">
        <v>659.07</v>
      </c>
      <c r="L258" s="10">
        <v>860.95</v>
      </c>
      <c r="M258" s="10">
        <v>1289.6400000000001</v>
      </c>
      <c r="N258" s="10">
        <v>1162.42</v>
      </c>
      <c r="O258" s="11">
        <v>2414.75</v>
      </c>
      <c r="P258" s="10">
        <v>3.0240014581487236E-2</v>
      </c>
    </row>
    <row r="259" spans="2:16" s="8" customFormat="1" ht="34.9" hidden="1" customHeight="1">
      <c r="B259" s="14">
        <v>45231</v>
      </c>
      <c r="C259" s="7">
        <v>4713.01</v>
      </c>
      <c r="D259" s="6">
        <v>1020.94</v>
      </c>
      <c r="E259" s="6">
        <v>1364.07</v>
      </c>
      <c r="F259" s="6">
        <v>57.32</v>
      </c>
      <c r="G259" s="6">
        <v>5540.81</v>
      </c>
      <c r="H259" s="6">
        <v>1449.63</v>
      </c>
      <c r="I259" s="6">
        <v>9254.7099999999991</v>
      </c>
      <c r="J259" s="6">
        <v>5176.33</v>
      </c>
      <c r="K259" s="6">
        <v>649.73</v>
      </c>
      <c r="L259" s="6">
        <v>881.59</v>
      </c>
      <c r="M259" s="6">
        <v>1295.53</v>
      </c>
      <c r="N259" s="6">
        <v>1162.42</v>
      </c>
      <c r="O259" s="7">
        <v>2406.8000000000002</v>
      </c>
      <c r="P259" s="6">
        <v>-0.32922662801531499</v>
      </c>
    </row>
    <row r="260" spans="2:16" s="8" customFormat="1" ht="34.9" hidden="1" customHeight="1">
      <c r="B260" s="60">
        <v>45261</v>
      </c>
      <c r="C260" s="62">
        <v>4718.6899999999996</v>
      </c>
      <c r="D260" s="61">
        <v>1037.5999999999999</v>
      </c>
      <c r="E260" s="61">
        <v>1409.08</v>
      </c>
      <c r="F260" s="61">
        <v>57.32</v>
      </c>
      <c r="G260" s="61">
        <v>5540.81</v>
      </c>
      <c r="H260" s="61">
        <v>1464.35</v>
      </c>
      <c r="I260" s="61">
        <v>8136.01</v>
      </c>
      <c r="J260" s="61">
        <v>5154.0200000000004</v>
      </c>
      <c r="K260" s="61">
        <v>658.18</v>
      </c>
      <c r="L260" s="61">
        <v>984.77</v>
      </c>
      <c r="M260" s="61">
        <v>1271.97</v>
      </c>
      <c r="N260" s="61">
        <v>1162.42</v>
      </c>
      <c r="O260" s="62">
        <v>2431.21</v>
      </c>
      <c r="P260" s="10">
        <v>1.0142097390726215</v>
      </c>
    </row>
    <row r="261" spans="2:16" s="8" customFormat="1" ht="34.9" hidden="1" customHeight="1">
      <c r="B261" s="3">
        <v>2024</v>
      </c>
      <c r="C261" s="93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3"/>
      <c r="P261" s="94"/>
    </row>
    <row r="262" spans="2:16" s="8" customFormat="1" ht="34.9" hidden="1" customHeight="1">
      <c r="B262" s="14">
        <v>45292</v>
      </c>
      <c r="C262" s="7">
        <v>4818.2700000000004</v>
      </c>
      <c r="D262" s="6">
        <v>1012.12</v>
      </c>
      <c r="E262" s="6">
        <v>1419.58</v>
      </c>
      <c r="F262" s="6">
        <v>57.32</v>
      </c>
      <c r="G262" s="6">
        <v>5540.81</v>
      </c>
      <c r="H262" s="6">
        <v>1380.95</v>
      </c>
      <c r="I262" s="6">
        <v>7119.01</v>
      </c>
      <c r="J262" s="6">
        <v>5322.5</v>
      </c>
      <c r="K262" s="6">
        <v>691.47</v>
      </c>
      <c r="L262" s="6">
        <v>1005.41</v>
      </c>
      <c r="M262" s="6">
        <v>1260.2</v>
      </c>
      <c r="N262" s="6">
        <v>1162.42</v>
      </c>
      <c r="O262" s="7">
        <v>2480.7600000000002</v>
      </c>
      <c r="P262" s="6">
        <f>O262/O260*100-100</f>
        <v>2.0380798038836616</v>
      </c>
    </row>
    <row r="263" spans="2:16" s="8" customFormat="1" ht="34.9" hidden="1" customHeight="1">
      <c r="B263" s="15">
        <v>45323</v>
      </c>
      <c r="C263" s="11">
        <v>4885.08</v>
      </c>
      <c r="D263" s="10">
        <v>1053.82</v>
      </c>
      <c r="E263" s="10">
        <v>1452.57</v>
      </c>
      <c r="F263" s="10">
        <v>57.32</v>
      </c>
      <c r="G263" s="10">
        <v>5540.81</v>
      </c>
      <c r="H263" s="10">
        <v>1329.05</v>
      </c>
      <c r="I263" s="10">
        <v>5491.81</v>
      </c>
      <c r="J263" s="10">
        <v>5409.59</v>
      </c>
      <c r="K263" s="10">
        <v>706.52</v>
      </c>
      <c r="L263" s="10">
        <v>1005.41</v>
      </c>
      <c r="M263" s="10">
        <v>1266.0899999999999</v>
      </c>
      <c r="N263" s="10">
        <v>1162.42</v>
      </c>
      <c r="O263" s="11">
        <v>2467.25</v>
      </c>
      <c r="P263" s="10">
        <f t="shared" ref="P263" si="17">O263/O262*100-100</f>
        <v>-0.54459117367258614</v>
      </c>
    </row>
    <row r="264" spans="2:16" s="8" customFormat="1" ht="34.9" hidden="1" customHeight="1">
      <c r="B264" s="14">
        <v>45352</v>
      </c>
      <c r="C264" s="7">
        <v>4768.33</v>
      </c>
      <c r="D264" s="6">
        <v>1033.8800000000001</v>
      </c>
      <c r="E264" s="6">
        <v>1437.15</v>
      </c>
      <c r="F264" s="6">
        <v>57.32</v>
      </c>
      <c r="G264" s="6">
        <v>5540.81</v>
      </c>
      <c r="H264" s="6">
        <v>1357.24</v>
      </c>
      <c r="I264" s="6">
        <v>4474.8</v>
      </c>
      <c r="J264" s="6">
        <v>5229.53</v>
      </c>
      <c r="K264" s="6">
        <v>748.87</v>
      </c>
      <c r="L264" s="6">
        <v>932.12</v>
      </c>
      <c r="M264" s="6">
        <v>1271.97</v>
      </c>
      <c r="N264" s="6">
        <v>1162.42</v>
      </c>
      <c r="O264" s="7">
        <v>2437.7199999999998</v>
      </c>
      <c r="P264" s="6">
        <f t="shared" ref="P264:P268" si="18">O264/O263*100-100</f>
        <v>-1.1968791164251797</v>
      </c>
    </row>
    <row r="265" spans="2:16" s="8" customFormat="1" ht="34.9" hidden="1" customHeight="1">
      <c r="B265" s="15">
        <v>45383</v>
      </c>
      <c r="C265" s="11">
        <v>4909.66</v>
      </c>
      <c r="D265" s="10">
        <v>1038.44</v>
      </c>
      <c r="E265" s="10">
        <v>1433.91</v>
      </c>
      <c r="F265" s="10">
        <v>57.32</v>
      </c>
      <c r="G265" s="10">
        <v>5540.81</v>
      </c>
      <c r="H265" s="10">
        <v>1372.28</v>
      </c>
      <c r="I265" s="10">
        <v>4779.8999999999996</v>
      </c>
      <c r="J265" s="10">
        <v>5394.82</v>
      </c>
      <c r="K265" s="10">
        <v>900.58</v>
      </c>
      <c r="L265" s="10">
        <v>883.06</v>
      </c>
      <c r="M265" s="10">
        <v>1213.0899999999999</v>
      </c>
      <c r="N265" s="10">
        <v>1162.42</v>
      </c>
      <c r="O265" s="11">
        <v>2390.5500000000002</v>
      </c>
      <c r="P265" s="10">
        <f t="shared" si="18"/>
        <v>-1.9350048405887321</v>
      </c>
    </row>
    <row r="266" spans="2:16" s="8" customFormat="1" ht="34.9" hidden="1" customHeight="1">
      <c r="B266" s="14">
        <v>45413</v>
      </c>
      <c r="C266" s="7">
        <v>4770.0200000000004</v>
      </c>
      <c r="D266" s="6">
        <v>1029.1199999999999</v>
      </c>
      <c r="E266" s="6">
        <v>1477.53</v>
      </c>
      <c r="F266" s="6">
        <v>57.32</v>
      </c>
      <c r="G266" s="6">
        <v>5540.81</v>
      </c>
      <c r="H266" s="6">
        <v>1382.37</v>
      </c>
      <c r="I266" s="6">
        <v>4068</v>
      </c>
      <c r="J266" s="6">
        <v>5170.6499999999996</v>
      </c>
      <c r="K266" s="6">
        <v>921.31</v>
      </c>
      <c r="L266" s="6">
        <v>1005.71</v>
      </c>
      <c r="M266" s="6">
        <v>1207.2</v>
      </c>
      <c r="N266" s="6">
        <v>1162.42</v>
      </c>
      <c r="O266" s="7">
        <v>2402.25</v>
      </c>
      <c r="P266" s="6">
        <f t="shared" si="18"/>
        <v>0.48942711928216909</v>
      </c>
    </row>
    <row r="267" spans="2:16" s="8" customFormat="1" ht="34.9" hidden="1" customHeight="1">
      <c r="B267" s="15">
        <v>45445</v>
      </c>
      <c r="C267" s="11">
        <v>4770.33</v>
      </c>
      <c r="D267" s="10">
        <v>1022.5</v>
      </c>
      <c r="E267" s="10">
        <v>1485.3</v>
      </c>
      <c r="F267" s="10">
        <v>57.32</v>
      </c>
      <c r="G267" s="10">
        <v>5540.81</v>
      </c>
      <c r="H267" s="10">
        <v>1394.81</v>
      </c>
      <c r="I267" s="10">
        <v>3661.2</v>
      </c>
      <c r="J267" s="10">
        <v>5199.3599999999997</v>
      </c>
      <c r="K267" s="10">
        <v>855.67</v>
      </c>
      <c r="L267" s="10">
        <v>956.65</v>
      </c>
      <c r="M267" s="10">
        <v>1189.53</v>
      </c>
      <c r="N267" s="10">
        <v>1162.42</v>
      </c>
      <c r="O267" s="11">
        <v>2393.5300000000002</v>
      </c>
      <c r="P267" s="10">
        <f t="shared" si="18"/>
        <v>-0.36299302737016603</v>
      </c>
    </row>
    <row r="268" spans="2:16" s="8" customFormat="1" ht="34.9" hidden="1" customHeight="1">
      <c r="B268" s="14">
        <v>45474</v>
      </c>
      <c r="C268" s="7">
        <v>4807.76</v>
      </c>
      <c r="D268" s="6">
        <v>1051.93</v>
      </c>
      <c r="E268" s="6">
        <v>1578.68</v>
      </c>
      <c r="F268" s="6">
        <v>57.32</v>
      </c>
      <c r="G268" s="6">
        <v>5540.81</v>
      </c>
      <c r="H268" s="6">
        <v>1387.44</v>
      </c>
      <c r="I268" s="6">
        <v>2745.9</v>
      </c>
      <c r="J268" s="6">
        <v>5197.17</v>
      </c>
      <c r="K268" s="6">
        <v>942.6</v>
      </c>
      <c r="L268" s="6">
        <v>1005.71</v>
      </c>
      <c r="M268" s="6">
        <v>1177.75</v>
      </c>
      <c r="N268" s="6">
        <v>1162.42</v>
      </c>
      <c r="O268" s="7">
        <v>2407.09</v>
      </c>
      <c r="P268" s="6">
        <f t="shared" si="18"/>
        <v>0.56652726308004731</v>
      </c>
    </row>
    <row r="269" spans="2:16" s="8" customFormat="1" ht="34.9" hidden="1" customHeight="1">
      <c r="B269" s="15">
        <v>45506</v>
      </c>
      <c r="C269" s="11">
        <v>4890.18</v>
      </c>
      <c r="D269" s="10">
        <v>1029.76</v>
      </c>
      <c r="E269" s="10">
        <v>1583.39</v>
      </c>
      <c r="F269" s="10">
        <v>57.32</v>
      </c>
      <c r="G269" s="10">
        <v>5540.81</v>
      </c>
      <c r="H269" s="10">
        <v>1399.99</v>
      </c>
      <c r="I269" s="10">
        <v>2237.4</v>
      </c>
      <c r="J269" s="10">
        <v>5341.73</v>
      </c>
      <c r="K269" s="10">
        <v>883.67</v>
      </c>
      <c r="L269" s="10">
        <v>1128.3499999999999</v>
      </c>
      <c r="M269" s="10">
        <v>1165.98</v>
      </c>
      <c r="N269" s="10">
        <v>1162.42</v>
      </c>
      <c r="O269" s="11">
        <v>2413.14</v>
      </c>
      <c r="P269" s="10">
        <f>O269/O268*100-100</f>
        <v>0.25134083062950197</v>
      </c>
    </row>
    <row r="270" spans="2:16" s="8" customFormat="1" ht="34.9" hidden="1" customHeight="1">
      <c r="B270" s="14">
        <v>45538</v>
      </c>
      <c r="C270" s="7">
        <v>4792.63</v>
      </c>
      <c r="D270" s="6">
        <v>1008.54</v>
      </c>
      <c r="E270" s="6">
        <v>1575.82</v>
      </c>
      <c r="F270" s="6">
        <v>57.32</v>
      </c>
      <c r="G270" s="6">
        <v>5540.81</v>
      </c>
      <c r="H270" s="6">
        <v>1360.21</v>
      </c>
      <c r="I270" s="6">
        <v>1627.2</v>
      </c>
      <c r="J270" s="6">
        <v>5221.7</v>
      </c>
      <c r="K270" s="6">
        <v>900.5</v>
      </c>
      <c r="L270" s="6">
        <v>1103.82</v>
      </c>
      <c r="M270" s="6">
        <v>1160.0899999999999</v>
      </c>
      <c r="N270" s="6">
        <v>1162.42</v>
      </c>
      <c r="O270" s="7">
        <v>2374</v>
      </c>
      <c r="P270" s="6">
        <f>O270/O269*100-100</f>
        <v>-1.6219531398924119</v>
      </c>
    </row>
    <row r="271" spans="2:16" s="8" customFormat="1" ht="34.9" hidden="1" customHeight="1">
      <c r="B271" s="15">
        <v>45570</v>
      </c>
      <c r="C271" s="11">
        <v>5006.41</v>
      </c>
      <c r="D271" s="10">
        <v>1018.18</v>
      </c>
      <c r="E271" s="10">
        <v>1640.04</v>
      </c>
      <c r="F271" s="10">
        <v>57.32</v>
      </c>
      <c r="G271" s="10">
        <v>5540.81</v>
      </c>
      <c r="H271" s="10">
        <v>1360.03</v>
      </c>
      <c r="I271" s="10">
        <v>1627.2</v>
      </c>
      <c r="J271" s="10">
        <v>5514.67</v>
      </c>
      <c r="K271" s="10">
        <v>889.53</v>
      </c>
      <c r="L271" s="10">
        <v>1201.94</v>
      </c>
      <c r="M271" s="10">
        <v>1183.6400000000001</v>
      </c>
      <c r="N271" s="10">
        <v>1162.42</v>
      </c>
      <c r="O271" s="11">
        <v>2406.02</v>
      </c>
      <c r="P271" s="10">
        <f>O271/O270*100-100</f>
        <v>1.3487784330244352</v>
      </c>
    </row>
    <row r="272" spans="2:16" s="8" customFormat="1" ht="34.9" hidden="1" customHeight="1">
      <c r="B272" s="14">
        <v>45599</v>
      </c>
      <c r="C272" s="7">
        <v>5264.33</v>
      </c>
      <c r="D272" s="6">
        <v>1012.75</v>
      </c>
      <c r="E272" s="6">
        <v>1717.69</v>
      </c>
      <c r="F272" s="6">
        <v>57.32</v>
      </c>
      <c r="G272" s="6">
        <v>5540.81</v>
      </c>
      <c r="H272" s="6">
        <v>1378.58</v>
      </c>
      <c r="I272" s="6">
        <v>1728.9</v>
      </c>
      <c r="J272" s="6">
        <v>5843.81</v>
      </c>
      <c r="K272" s="6">
        <v>908.21</v>
      </c>
      <c r="L272" s="6">
        <v>1471.77</v>
      </c>
      <c r="M272" s="6">
        <v>1189.53</v>
      </c>
      <c r="N272" s="6">
        <v>1162.42</v>
      </c>
      <c r="O272" s="7">
        <v>2420.12</v>
      </c>
      <c r="P272" s="6">
        <f>O272/O271*100-100</f>
        <v>0.58603004131303749</v>
      </c>
    </row>
    <row r="273" spans="2:16" s="8" customFormat="1" ht="34.5" hidden="1" customHeight="1">
      <c r="B273" s="60">
        <v>45628</v>
      </c>
      <c r="C273" s="62">
        <v>5531.31</v>
      </c>
      <c r="D273" s="61">
        <v>1011.21</v>
      </c>
      <c r="E273" s="61">
        <v>1589.68</v>
      </c>
      <c r="F273" s="61">
        <v>57.32</v>
      </c>
      <c r="G273" s="61">
        <v>5540.81</v>
      </c>
      <c r="H273" s="61">
        <v>1408.69</v>
      </c>
      <c r="I273" s="61">
        <v>1423.8</v>
      </c>
      <c r="J273" s="61">
        <v>6280.7</v>
      </c>
      <c r="K273" s="61">
        <v>896.98</v>
      </c>
      <c r="L273" s="61">
        <v>1422.71</v>
      </c>
      <c r="M273" s="61">
        <v>1189.53</v>
      </c>
      <c r="N273" s="61">
        <v>1162.42</v>
      </c>
      <c r="O273" s="62">
        <v>2488.7600000000002</v>
      </c>
      <c r="P273" s="61">
        <f>O273/O272*100-100</f>
        <v>2.836222997206761</v>
      </c>
    </row>
    <row r="274" spans="2:16" s="8" customFormat="1" ht="34.9" customHeight="1">
      <c r="B274" s="3">
        <v>2025</v>
      </c>
      <c r="C274" s="93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3"/>
      <c r="P274" s="94"/>
    </row>
    <row r="275" spans="2:16" s="8" customFormat="1" ht="34.9" hidden="1" customHeight="1">
      <c r="B275" s="14">
        <v>45658</v>
      </c>
      <c r="C275" s="7">
        <v>5996.44</v>
      </c>
      <c r="D275" s="6">
        <v>1040.5</v>
      </c>
      <c r="E275" s="6">
        <v>1724.1</v>
      </c>
      <c r="F275" s="6">
        <v>57.3</v>
      </c>
      <c r="G275" s="6">
        <v>5540.8</v>
      </c>
      <c r="H275" s="6">
        <v>1403.8</v>
      </c>
      <c r="I275" s="6">
        <v>1322.1</v>
      </c>
      <c r="J275" s="6">
        <v>6935.5</v>
      </c>
      <c r="K275" s="6">
        <v>892.3</v>
      </c>
      <c r="L275" s="6">
        <v>1545.4</v>
      </c>
      <c r="M275" s="6">
        <v>1177.8</v>
      </c>
      <c r="N275" s="6">
        <v>1162.4000000000001</v>
      </c>
      <c r="O275" s="7">
        <v>2615.8000000000002</v>
      </c>
      <c r="P275" s="6">
        <f>O275/O273*100-100</f>
        <v>5.1045500570565281</v>
      </c>
    </row>
    <row r="276" spans="2:16" s="8" customFormat="1" ht="34.9" hidden="1" customHeight="1">
      <c r="B276" s="15">
        <v>45689</v>
      </c>
      <c r="C276" s="11">
        <v>5833.56</v>
      </c>
      <c r="D276" s="10">
        <v>1040.49</v>
      </c>
      <c r="E276" s="10">
        <v>1714.88</v>
      </c>
      <c r="F276" s="10">
        <v>57.32</v>
      </c>
      <c r="G276" s="10">
        <v>5540.81</v>
      </c>
      <c r="H276" s="10">
        <v>1408.46</v>
      </c>
      <c r="I276" s="10">
        <v>1017</v>
      </c>
      <c r="J276" s="10">
        <v>6715.72</v>
      </c>
      <c r="K276" s="10">
        <v>821.57</v>
      </c>
      <c r="L276" s="10">
        <v>1520.82</v>
      </c>
      <c r="M276" s="10">
        <v>1242.53</v>
      </c>
      <c r="N276" s="10">
        <v>1162.42</v>
      </c>
      <c r="O276" s="11">
        <v>2592.54</v>
      </c>
      <c r="P276" s="10">
        <f>O276/O275*100-100</f>
        <v>-0.88921171343375249</v>
      </c>
    </row>
    <row r="277" spans="2:16" s="8" customFormat="1" ht="34.9" hidden="1" customHeight="1">
      <c r="B277" s="14">
        <v>45717</v>
      </c>
      <c r="C277" s="7">
        <v>6250.91</v>
      </c>
      <c r="D277" s="6">
        <v>1033.5999999999999</v>
      </c>
      <c r="E277" s="6">
        <v>1699.88</v>
      </c>
      <c r="F277" s="6">
        <v>57.32</v>
      </c>
      <c r="G277" s="6">
        <v>5540.81</v>
      </c>
      <c r="H277" s="6">
        <v>1398.59</v>
      </c>
      <c r="I277" s="6">
        <v>813.6</v>
      </c>
      <c r="J277" s="6">
        <v>7414.12</v>
      </c>
      <c r="K277" s="6">
        <v>775.25</v>
      </c>
      <c r="L277" s="6">
        <v>1373.65</v>
      </c>
      <c r="M277" s="6">
        <v>1189.53</v>
      </c>
      <c r="N277" s="6">
        <v>1162.42</v>
      </c>
      <c r="O277" s="7">
        <v>2640.95</v>
      </c>
      <c r="P277" s="6">
        <f>O277/O276*100-100</f>
        <v>1.8672807362663661</v>
      </c>
    </row>
    <row r="278" spans="2:16" s="8" customFormat="1" ht="34.9" hidden="1" customHeight="1">
      <c r="B278" s="15">
        <v>45748</v>
      </c>
      <c r="C278" s="11">
        <v>5774.16</v>
      </c>
      <c r="D278" s="10">
        <v>988.33</v>
      </c>
      <c r="E278" s="10">
        <v>1743.97</v>
      </c>
      <c r="F278" s="10">
        <v>57.32</v>
      </c>
      <c r="G278" s="10">
        <v>5540.81</v>
      </c>
      <c r="H278" s="10">
        <v>1366.99</v>
      </c>
      <c r="I278" s="10">
        <v>711.9</v>
      </c>
      <c r="J278" s="10">
        <v>6631.52</v>
      </c>
      <c r="K278" s="10">
        <v>856.12</v>
      </c>
      <c r="L278" s="10">
        <v>1741.59</v>
      </c>
      <c r="M278" s="10">
        <v>1124.75</v>
      </c>
      <c r="N278" s="10">
        <v>1162.42</v>
      </c>
      <c r="O278" s="11">
        <v>2493.09</v>
      </c>
      <c r="P278" s="10">
        <f t="shared" ref="P278" si="19">O278/O277*100-100</f>
        <v>-5.5987428766163561</v>
      </c>
    </row>
    <row r="279" spans="2:16" s="8" customFormat="1" ht="34.9" hidden="1" customHeight="1">
      <c r="B279" s="14">
        <v>45778</v>
      </c>
      <c r="C279" s="7">
        <v>6239.85</v>
      </c>
      <c r="D279" s="6">
        <v>987.36</v>
      </c>
      <c r="E279" s="6">
        <v>1805.11</v>
      </c>
      <c r="F279" s="6">
        <v>57.32</v>
      </c>
      <c r="G279" s="6">
        <v>5540.81</v>
      </c>
      <c r="H279" s="6">
        <v>1366.05</v>
      </c>
      <c r="I279" s="6">
        <v>711.9</v>
      </c>
      <c r="J279" s="6">
        <v>7301.94</v>
      </c>
      <c r="K279" s="6">
        <v>796.1</v>
      </c>
      <c r="L279" s="6">
        <v>2256.71</v>
      </c>
      <c r="M279" s="6">
        <v>1165.98</v>
      </c>
      <c r="N279" s="6">
        <v>1162.42</v>
      </c>
      <c r="O279" s="7">
        <v>2659.71</v>
      </c>
      <c r="P279" s="6">
        <f t="shared" ref="P279:P285" si="20">O279/O278*100-100</f>
        <v>6.6832725653706859</v>
      </c>
    </row>
    <row r="280" spans="2:16" s="8" customFormat="1" ht="34.9" hidden="1" customHeight="1">
      <c r="B280" s="15">
        <v>45810</v>
      </c>
      <c r="C280" s="11">
        <v>6890.68</v>
      </c>
      <c r="D280" s="10">
        <v>998.51</v>
      </c>
      <c r="E280" s="10">
        <v>1745.52</v>
      </c>
      <c r="F280" s="10">
        <v>57.32</v>
      </c>
      <c r="G280" s="10">
        <v>5540.81</v>
      </c>
      <c r="H280" s="10">
        <v>1373.33</v>
      </c>
      <c r="I280" s="10">
        <v>711.9</v>
      </c>
      <c r="J280" s="10">
        <v>8334.57</v>
      </c>
      <c r="K280" s="10">
        <v>776.18</v>
      </c>
      <c r="L280" s="10">
        <v>2207.65</v>
      </c>
      <c r="M280" s="10">
        <v>1142.42</v>
      </c>
      <c r="N280" s="10">
        <v>1162.42</v>
      </c>
      <c r="O280" s="11">
        <v>2777.45</v>
      </c>
      <c r="P280" s="10">
        <f t="shared" si="20"/>
        <v>4.4267984103530011</v>
      </c>
    </row>
    <row r="281" spans="2:16" s="8" customFormat="1" ht="34.9" hidden="1" customHeight="1">
      <c r="B281" s="14">
        <v>45863</v>
      </c>
      <c r="C281" s="7">
        <v>7470.4</v>
      </c>
      <c r="D281" s="6">
        <v>980.72</v>
      </c>
      <c r="E281" s="6">
        <v>1728.8</v>
      </c>
      <c r="F281" s="6">
        <v>57.32</v>
      </c>
      <c r="G281" s="6">
        <v>5540.81</v>
      </c>
      <c r="H281" s="6">
        <v>1333.02</v>
      </c>
      <c r="I281" s="6">
        <v>711.9</v>
      </c>
      <c r="J281" s="6">
        <v>9284.76</v>
      </c>
      <c r="K281" s="6">
        <v>767.18</v>
      </c>
      <c r="L281" s="6">
        <v>2158.59</v>
      </c>
      <c r="M281" s="6">
        <v>1242.53</v>
      </c>
      <c r="N281" s="6">
        <v>1162.42</v>
      </c>
      <c r="O281" s="7">
        <v>2914.79</v>
      </c>
      <c r="P281" s="6">
        <f t="shared" si="20"/>
        <v>4.9448234891717391</v>
      </c>
    </row>
    <row r="282" spans="2:16" s="8" customFormat="1" ht="34.9" customHeight="1">
      <c r="B282" s="15">
        <v>45894</v>
      </c>
      <c r="C282" s="11">
        <v>7661.01</v>
      </c>
      <c r="D282" s="10">
        <v>1030.67</v>
      </c>
      <c r="E282" s="10">
        <v>1728.19</v>
      </c>
      <c r="F282" s="10">
        <v>57.32</v>
      </c>
      <c r="G282" s="10">
        <v>5540.81</v>
      </c>
      <c r="H282" s="10">
        <v>1307.31</v>
      </c>
      <c r="I282" s="10">
        <v>711.9</v>
      </c>
      <c r="J282" s="10">
        <v>9551.9</v>
      </c>
      <c r="K282" s="10">
        <v>782.45</v>
      </c>
      <c r="L282" s="10">
        <v>2256.71</v>
      </c>
      <c r="M282" s="10">
        <v>1224.8599999999999</v>
      </c>
      <c r="N282" s="10">
        <v>1162.42</v>
      </c>
      <c r="O282" s="11">
        <v>2974.35</v>
      </c>
      <c r="P282" s="10">
        <f t="shared" si="20"/>
        <v>2.0433719067239906</v>
      </c>
    </row>
    <row r="283" spans="2:16" s="8" customFormat="1" ht="34.9" customHeight="1">
      <c r="B283" s="14">
        <v>45925</v>
      </c>
      <c r="C283" s="7">
        <v>7885.2</v>
      </c>
      <c r="D283" s="6">
        <v>1020.88</v>
      </c>
      <c r="E283" s="6">
        <v>1769.69</v>
      </c>
      <c r="F283" s="6">
        <v>57.32</v>
      </c>
      <c r="G283" s="6">
        <v>5540.81</v>
      </c>
      <c r="H283" s="6">
        <v>1311.94</v>
      </c>
      <c r="I283" s="6">
        <v>711.9</v>
      </c>
      <c r="J283" s="6">
        <v>9885.36</v>
      </c>
      <c r="K283" s="6">
        <v>833.04</v>
      </c>
      <c r="L283" s="6">
        <v>2085</v>
      </c>
      <c r="M283" s="6">
        <v>1260.2</v>
      </c>
      <c r="N283" s="6">
        <v>1162.42</v>
      </c>
      <c r="O283" s="7">
        <v>3033.21</v>
      </c>
      <c r="P283" s="6">
        <f t="shared" si="20"/>
        <v>1.9789197639820628</v>
      </c>
    </row>
    <row r="284" spans="2:16" s="8" customFormat="1" ht="34.9" customHeight="1">
      <c r="B284" s="15">
        <v>45955</v>
      </c>
      <c r="C284" s="11">
        <v>8328.15</v>
      </c>
      <c r="D284" s="10">
        <v>1019.47</v>
      </c>
      <c r="E284" s="10">
        <v>1753.51</v>
      </c>
      <c r="F284" s="10">
        <v>57.32</v>
      </c>
      <c r="G284" s="10">
        <v>5540.81</v>
      </c>
      <c r="H284" s="10">
        <v>1389.33</v>
      </c>
      <c r="I284" s="10">
        <v>711.9</v>
      </c>
      <c r="J284" s="10">
        <v>10469.59</v>
      </c>
      <c r="K284" s="10">
        <v>824.75</v>
      </c>
      <c r="L284" s="10">
        <v>2575.59</v>
      </c>
      <c r="M284" s="10">
        <v>1525.19</v>
      </c>
      <c r="N284" s="10">
        <v>1162.42</v>
      </c>
      <c r="O284" s="11">
        <v>3318.1</v>
      </c>
      <c r="P284" s="10">
        <f t="shared" si="20"/>
        <v>9.3923599091391594</v>
      </c>
    </row>
    <row r="285" spans="2:16" s="8" customFormat="1" ht="34.9" customHeight="1">
      <c r="B285" s="14">
        <v>45986</v>
      </c>
      <c r="C285" s="7">
        <v>8553.4599999999991</v>
      </c>
      <c r="D285" s="6">
        <v>998.47</v>
      </c>
      <c r="E285" s="6">
        <v>1777.59</v>
      </c>
      <c r="F285" s="6">
        <v>57.32</v>
      </c>
      <c r="G285" s="6">
        <v>5540.81</v>
      </c>
      <c r="H285" s="6">
        <v>1365.49</v>
      </c>
      <c r="I285" s="6">
        <v>806.82</v>
      </c>
      <c r="J285" s="6">
        <v>10773.89</v>
      </c>
      <c r="K285" s="6">
        <v>839.94</v>
      </c>
      <c r="L285" s="6">
        <v>2943.53</v>
      </c>
      <c r="M285" s="6">
        <v>1672.41</v>
      </c>
      <c r="N285" s="6">
        <v>1162.42</v>
      </c>
      <c r="O285" s="7">
        <v>3433.68</v>
      </c>
      <c r="P285" s="6">
        <f t="shared" si="20"/>
        <v>3.4833187667641141</v>
      </c>
    </row>
    <row r="286" spans="2:16" s="8" customFormat="1" ht="34.9" customHeight="1">
      <c r="B286" s="60">
        <v>46016</v>
      </c>
      <c r="C286" s="62">
        <v>8872.85</v>
      </c>
      <c r="D286" s="61">
        <v>1060.7</v>
      </c>
      <c r="E286" s="61">
        <v>1831.72</v>
      </c>
      <c r="F286" s="61">
        <v>57.32</v>
      </c>
      <c r="G286" s="61">
        <v>5540.81</v>
      </c>
      <c r="H286" s="61">
        <v>1385.65</v>
      </c>
      <c r="I286" s="61">
        <v>854.28</v>
      </c>
      <c r="J286" s="61">
        <v>11134.79</v>
      </c>
      <c r="K286" s="61">
        <v>927.6</v>
      </c>
      <c r="L286" s="61">
        <v>3115.24</v>
      </c>
      <c r="M286" s="61">
        <v>1690.08</v>
      </c>
      <c r="N286" s="61">
        <v>1162.42</v>
      </c>
      <c r="O286" s="62">
        <v>3611.62</v>
      </c>
      <c r="P286" s="61">
        <f>O286/O285*100-100</f>
        <v>5.1821951958248746</v>
      </c>
    </row>
    <row r="287" spans="2:16" s="8" customFormat="1" ht="34.9" customHeight="1">
      <c r="B287" s="3">
        <v>2026</v>
      </c>
      <c r="C287" s="93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3"/>
      <c r="P287" s="94"/>
    </row>
    <row r="288" spans="2:16" s="8" customFormat="1" ht="34.9" customHeight="1">
      <c r="B288" s="14">
        <v>46023</v>
      </c>
      <c r="C288" s="7">
        <v>8882.58</v>
      </c>
      <c r="D288" s="6">
        <v>1065.8900000000001</v>
      </c>
      <c r="E288" s="6">
        <v>2067.46</v>
      </c>
      <c r="F288" s="6">
        <v>57.32</v>
      </c>
      <c r="G288" s="6">
        <v>5540.81</v>
      </c>
      <c r="H288" s="6">
        <v>1358.41</v>
      </c>
      <c r="I288" s="6">
        <v>711.9</v>
      </c>
      <c r="J288" s="6">
        <v>11091.53</v>
      </c>
      <c r="K288" s="6">
        <v>950.32</v>
      </c>
      <c r="L288" s="6">
        <v>2992.59</v>
      </c>
      <c r="M288" s="6">
        <v>1637.08</v>
      </c>
      <c r="N288" s="6">
        <v>1162.42</v>
      </c>
      <c r="O288" s="7">
        <v>3531.1</v>
      </c>
      <c r="P288" s="6">
        <f>O288/O286*100-100</f>
        <v>-2.2294704315514906</v>
      </c>
    </row>
    <row r="289" spans="2:16" s="8" customFormat="1" ht="34.9" customHeight="1">
      <c r="B289" s="15">
        <v>46054</v>
      </c>
      <c r="C289" s="11">
        <v>9402.7199999999993</v>
      </c>
      <c r="D289" s="10">
        <v>1087.18</v>
      </c>
      <c r="E289" s="10">
        <v>2259.2800000000002</v>
      </c>
      <c r="F289" s="10">
        <v>57.32</v>
      </c>
      <c r="G289" s="10">
        <v>5540.81</v>
      </c>
      <c r="H289" s="10">
        <v>1354.39</v>
      </c>
      <c r="I289" s="10">
        <v>427.14</v>
      </c>
      <c r="J289" s="10">
        <v>11904.83</v>
      </c>
      <c r="K289" s="10">
        <v>930.97</v>
      </c>
      <c r="L289" s="10">
        <v>2919</v>
      </c>
      <c r="M289" s="10">
        <v>1578.19</v>
      </c>
      <c r="N289" s="10">
        <v>1162.42</v>
      </c>
      <c r="O289" s="11">
        <v>3598.78</v>
      </c>
      <c r="P289" s="10">
        <f>O289/O288*100-100</f>
        <v>1.916683186542457</v>
      </c>
    </row>
    <row r="290" spans="2:16" s="8" customFormat="1" ht="34.9" customHeight="1">
      <c r="B290" s="14">
        <v>46082</v>
      </c>
      <c r="C290" s="7">
        <v>10007.799999999999</v>
      </c>
      <c r="D290" s="6">
        <v>1071.22</v>
      </c>
      <c r="E290" s="6">
        <v>2294.88</v>
      </c>
      <c r="F290" s="6">
        <v>57.32</v>
      </c>
      <c r="G290" s="6">
        <v>5540.81</v>
      </c>
      <c r="H290" s="6">
        <v>1356.01</v>
      </c>
      <c r="I290" s="6">
        <v>427.14</v>
      </c>
      <c r="J290" s="6">
        <v>12945.51</v>
      </c>
      <c r="K290" s="6">
        <v>896.45</v>
      </c>
      <c r="L290" s="6">
        <v>2796.36</v>
      </c>
      <c r="M290" s="6">
        <v>1531.08</v>
      </c>
      <c r="N290" s="6">
        <v>1162.42</v>
      </c>
      <c r="O290" s="7">
        <v>3641.25</v>
      </c>
      <c r="P290" s="6">
        <f>O290/O289*100-100</f>
        <v>1.1801221525072236</v>
      </c>
    </row>
    <row r="291" spans="2:16" s="8" customFormat="1" ht="34.9" customHeight="1">
      <c r="B291" s="15">
        <v>46113</v>
      </c>
      <c r="C291" s="11">
        <v>10389.57</v>
      </c>
      <c r="D291" s="10">
        <v>1104.49</v>
      </c>
      <c r="E291" s="10">
        <v>2619.9299999999998</v>
      </c>
      <c r="F291" s="10">
        <v>57.32</v>
      </c>
      <c r="G291" s="10">
        <v>5540.81</v>
      </c>
      <c r="H291" s="10">
        <v>1320.95</v>
      </c>
      <c r="I291" s="10">
        <v>522.05999999999995</v>
      </c>
      <c r="J291" s="10">
        <v>13253.42</v>
      </c>
      <c r="K291" s="10">
        <v>939.86</v>
      </c>
      <c r="L291" s="10">
        <v>3630.36</v>
      </c>
      <c r="M291" s="10">
        <v>1589.97</v>
      </c>
      <c r="N291" s="10">
        <v>1162.42</v>
      </c>
      <c r="O291" s="11">
        <v>3932.35</v>
      </c>
      <c r="P291" s="10">
        <f t="shared" ref="P291:P295" si="21">O291/O290*100-100</f>
        <v>7.9945073807071765</v>
      </c>
    </row>
    <row r="292" spans="2:16" s="8" customFormat="1" ht="34.9" customHeight="1">
      <c r="B292" s="14">
        <v>46143</v>
      </c>
      <c r="C292" s="7">
        <v>10856.82</v>
      </c>
      <c r="D292" s="6">
        <v>1052.17</v>
      </c>
      <c r="E292" s="6">
        <v>2821.28</v>
      </c>
      <c r="F292" s="6">
        <v>57.32</v>
      </c>
      <c r="G292" s="6">
        <v>5540.81</v>
      </c>
      <c r="H292" s="6">
        <v>1360.87</v>
      </c>
      <c r="I292" s="6">
        <v>569.52</v>
      </c>
      <c r="J292" s="6">
        <v>13921.09</v>
      </c>
      <c r="K292" s="6">
        <v>965.85</v>
      </c>
      <c r="L292" s="6">
        <v>3924.71</v>
      </c>
      <c r="M292" s="6">
        <v>1695.97</v>
      </c>
      <c r="N292" s="6">
        <v>1162.42</v>
      </c>
      <c r="O292" s="7">
        <v>4068.49</v>
      </c>
      <c r="P292" s="6">
        <f t="shared" si="21"/>
        <v>3.462051953666375</v>
      </c>
    </row>
    <row r="293" spans="2:16" s="8" customFormat="1" ht="34.5" customHeight="1">
      <c r="B293" s="15">
        <v>46175</v>
      </c>
      <c r="C293" s="11">
        <v>9579.17</v>
      </c>
      <c r="D293" s="10">
        <v>1032.99</v>
      </c>
      <c r="E293" s="10">
        <v>2402.41</v>
      </c>
      <c r="F293" s="10">
        <v>57.32</v>
      </c>
      <c r="G293" s="10">
        <v>5540.81</v>
      </c>
      <c r="H293" s="11">
        <v>1341.55</v>
      </c>
      <c r="I293" s="10">
        <v>569.52</v>
      </c>
      <c r="J293" s="10">
        <v>11978.81</v>
      </c>
      <c r="K293" s="10">
        <v>906</v>
      </c>
      <c r="L293" s="10">
        <v>3875.65</v>
      </c>
      <c r="M293" s="10">
        <v>1648.86</v>
      </c>
      <c r="N293" s="10">
        <v>1162.42</v>
      </c>
      <c r="O293" s="11">
        <v>3855.69</v>
      </c>
      <c r="P293" s="10">
        <f t="shared" si="21"/>
        <v>-5.2304417609481533</v>
      </c>
    </row>
    <row r="294" spans="2:16" s="8" customFormat="1" ht="34.9" customHeight="1">
      <c r="B294" s="14">
        <v>46229</v>
      </c>
      <c r="C294" s="7">
        <v>9660.1200000000008</v>
      </c>
      <c r="D294" s="6">
        <v>1058.17</v>
      </c>
      <c r="E294" s="6">
        <v>2802.27</v>
      </c>
      <c r="F294" s="6">
        <v>57.32</v>
      </c>
      <c r="G294" s="6">
        <v>5540.81</v>
      </c>
      <c r="H294" s="6">
        <v>1307.48</v>
      </c>
      <c r="I294" s="6">
        <v>569.52</v>
      </c>
      <c r="J294" s="6">
        <v>11744.3</v>
      </c>
      <c r="K294" s="6">
        <v>945.64</v>
      </c>
      <c r="L294" s="6">
        <v>4758.71</v>
      </c>
      <c r="M294" s="6">
        <v>1678.3</v>
      </c>
      <c r="N294" s="6">
        <v>1162.42</v>
      </c>
      <c r="O294" s="7">
        <v>3996.13</v>
      </c>
      <c r="P294" s="6">
        <f t="shared" si="21"/>
        <v>3.6424090110978966</v>
      </c>
    </row>
    <row r="295" spans="2:16" s="8" customFormat="1" ht="34.9" customHeight="1">
      <c r="B295" s="60">
        <v>46252</v>
      </c>
      <c r="C295" s="62">
        <v>10340.59</v>
      </c>
      <c r="D295" s="61">
        <v>1085.74</v>
      </c>
      <c r="E295" s="61">
        <v>2912.11</v>
      </c>
      <c r="F295" s="61">
        <v>57.32</v>
      </c>
      <c r="G295" s="61">
        <v>5540.81</v>
      </c>
      <c r="H295" s="61">
        <v>1342.86</v>
      </c>
      <c r="I295" s="61">
        <v>569.52</v>
      </c>
      <c r="J295" s="61">
        <v>12718.38</v>
      </c>
      <c r="K295" s="61">
        <v>1055.21</v>
      </c>
      <c r="L295" s="61">
        <v>4905.8900000000003</v>
      </c>
      <c r="M295" s="61">
        <v>1672.41</v>
      </c>
      <c r="N295" s="61">
        <v>1162.42</v>
      </c>
      <c r="O295" s="62">
        <v>4000.27</v>
      </c>
      <c r="P295" s="61">
        <f t="shared" si="21"/>
        <v>0.10360023322564871</v>
      </c>
    </row>
    <row r="296" spans="2:16" s="8" customFormat="1" ht="10.15" customHeight="1">
      <c r="B296" s="71"/>
      <c r="C296" s="73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3"/>
      <c r="P296" s="73"/>
    </row>
    <row r="297" spans="2:16" s="87" customFormat="1" ht="30" customHeight="1">
      <c r="B297" s="78" t="s">
        <v>67</v>
      </c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190" t="s">
        <v>93</v>
      </c>
      <c r="O297" s="190"/>
      <c r="P297" s="190"/>
    </row>
    <row r="298" spans="2:16" s="82" customFormat="1" ht="66" customHeight="1">
      <c r="B298" s="161" t="s">
        <v>150</v>
      </c>
      <c r="C298" s="161"/>
      <c r="D298" s="161"/>
      <c r="E298" s="161"/>
      <c r="F298" s="161"/>
      <c r="G298" s="161"/>
      <c r="H298" s="4"/>
      <c r="I298" s="142"/>
      <c r="J298" s="141"/>
      <c r="K298" s="174" t="s">
        <v>154</v>
      </c>
      <c r="L298" s="174"/>
      <c r="M298" s="174"/>
      <c r="N298" s="174"/>
      <c r="O298" s="174"/>
      <c r="P298" s="174"/>
    </row>
    <row r="299" spans="2:16" ht="15.7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82" spans="2:12">
      <c r="B382" s="138"/>
      <c r="C382" s="138"/>
      <c r="D382" s="138"/>
      <c r="E382" s="138"/>
      <c r="F382" s="138"/>
      <c r="G382" s="138"/>
      <c r="H382" s="138"/>
      <c r="I382" s="138"/>
      <c r="J382" s="138"/>
      <c r="K382" s="138"/>
      <c r="L382" s="138"/>
    </row>
  </sheetData>
  <sortState ref="B268:P294">
    <sortCondition descending="1" ref="B268"/>
  </sortState>
  <mergeCells count="16">
    <mergeCell ref="B298:G298"/>
    <mergeCell ref="K298:P298"/>
    <mergeCell ref="B2:D2"/>
    <mergeCell ref="N2:P2"/>
    <mergeCell ref="N297:P297"/>
    <mergeCell ref="C7:N7"/>
    <mergeCell ref="C6:N6"/>
    <mergeCell ref="O9:O10"/>
    <mergeCell ref="O7:O8"/>
    <mergeCell ref="P7:P8"/>
    <mergeCell ref="P9:P10"/>
    <mergeCell ref="E2:M2"/>
    <mergeCell ref="O3:P3"/>
    <mergeCell ref="O4:P4"/>
    <mergeCell ref="D3:N3"/>
    <mergeCell ref="D4:N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Q386"/>
  <sheetViews>
    <sheetView rightToLeft="1" zoomScale="40" zoomScaleNormal="40" workbookViewId="0">
      <selection activeCell="D3" sqref="D3:J3"/>
    </sheetView>
  </sheetViews>
  <sheetFormatPr defaultColWidth="9.140625" defaultRowHeight="15.75"/>
  <cols>
    <col min="1" max="1" width="10.7109375" style="1" customWidth="1"/>
    <col min="2" max="2" width="22.7109375" style="1" customWidth="1"/>
    <col min="3" max="12" width="35.7109375" style="1" customWidth="1"/>
    <col min="13" max="16384" width="9.140625" style="1"/>
  </cols>
  <sheetData>
    <row r="1" spans="2:16" customFormat="1" ht="18" customHeight="1"/>
    <row r="2" spans="2:16" customFormat="1" ht="15.75" customHeight="1"/>
    <row r="3" spans="2:16" s="82" customFormat="1" ht="40.15" customHeight="1">
      <c r="B3" s="162" t="s">
        <v>130</v>
      </c>
      <c r="C3" s="162"/>
      <c r="D3" s="164" t="s">
        <v>103</v>
      </c>
      <c r="E3" s="164"/>
      <c r="F3" s="164"/>
      <c r="G3" s="164"/>
      <c r="H3" s="164"/>
      <c r="I3" s="164"/>
      <c r="J3" s="164"/>
      <c r="K3" s="163" t="s">
        <v>106</v>
      </c>
      <c r="L3" s="163"/>
      <c r="M3" s="84"/>
      <c r="N3" s="200"/>
      <c r="O3" s="200"/>
      <c r="P3" s="200"/>
    </row>
    <row r="4" spans="2:16" s="82" customFormat="1" ht="40.15" customHeight="1">
      <c r="B4" s="63"/>
      <c r="C4" s="63"/>
      <c r="D4" s="199" t="s">
        <v>137</v>
      </c>
      <c r="E4" s="199"/>
      <c r="F4" s="199"/>
      <c r="G4" s="199"/>
      <c r="H4" s="199"/>
      <c r="I4" s="199"/>
      <c r="J4" s="199"/>
      <c r="K4" s="187" t="s">
        <v>133</v>
      </c>
      <c r="L4" s="187"/>
      <c r="M4" s="84"/>
      <c r="N4" s="64"/>
      <c r="O4" s="64"/>
      <c r="P4" s="64"/>
    </row>
    <row r="5" spans="2:16" s="105" customFormat="1" ht="40.15" customHeight="1">
      <c r="B5" s="21"/>
      <c r="C5" s="85"/>
      <c r="D5" s="165" t="s">
        <v>138</v>
      </c>
      <c r="E5" s="165"/>
      <c r="F5" s="165"/>
      <c r="G5" s="165"/>
      <c r="H5" s="165"/>
      <c r="I5" s="165"/>
      <c r="J5" s="165"/>
      <c r="K5" s="188" t="s">
        <v>132</v>
      </c>
      <c r="L5" s="188"/>
    </row>
    <row r="6" spans="2:16" s="104" customFormat="1" ht="10.15" customHeight="1">
      <c r="B6" s="21"/>
      <c r="C6" s="67"/>
      <c r="D6" s="67"/>
      <c r="E6" s="67"/>
      <c r="F6" s="67"/>
      <c r="G6" s="67"/>
      <c r="H6" s="67"/>
      <c r="I6" s="67"/>
      <c r="J6" s="67"/>
      <c r="K6" s="88"/>
      <c r="L6" s="88"/>
    </row>
    <row r="7" spans="2:16" ht="89.25" customHeight="1">
      <c r="B7" s="203"/>
      <c r="C7" s="182" t="s">
        <v>66</v>
      </c>
      <c r="D7" s="182"/>
      <c r="E7" s="182" t="s">
        <v>65</v>
      </c>
      <c r="F7" s="182"/>
      <c r="G7" s="182" t="s">
        <v>64</v>
      </c>
      <c r="H7" s="182"/>
      <c r="I7" s="182" t="s">
        <v>63</v>
      </c>
      <c r="J7" s="182"/>
      <c r="K7" s="182" t="s">
        <v>62</v>
      </c>
      <c r="L7" s="184"/>
      <c r="M7"/>
      <c r="N7"/>
    </row>
    <row r="8" spans="2:16" ht="89.25" customHeight="1">
      <c r="B8" s="204"/>
      <c r="C8" s="201" t="s">
        <v>61</v>
      </c>
      <c r="D8" s="201"/>
      <c r="E8" s="201" t="s">
        <v>60</v>
      </c>
      <c r="F8" s="201"/>
      <c r="G8" s="201" t="s">
        <v>59</v>
      </c>
      <c r="H8" s="201"/>
      <c r="I8" s="201" t="s">
        <v>58</v>
      </c>
      <c r="J8" s="201"/>
      <c r="K8" s="201" t="s">
        <v>57</v>
      </c>
      <c r="L8" s="202"/>
    </row>
    <row r="9" spans="2:16" ht="38.25" customHeight="1">
      <c r="B9" s="204"/>
      <c r="C9" s="97" t="s">
        <v>56</v>
      </c>
      <c r="D9" s="97" t="s">
        <v>55</v>
      </c>
      <c r="E9" s="97" t="s">
        <v>56</v>
      </c>
      <c r="F9" s="97" t="s">
        <v>55</v>
      </c>
      <c r="G9" s="97" t="s">
        <v>56</v>
      </c>
      <c r="H9" s="97" t="s">
        <v>55</v>
      </c>
      <c r="I9" s="97" t="s">
        <v>56</v>
      </c>
      <c r="J9" s="97" t="s">
        <v>55</v>
      </c>
      <c r="K9" s="97" t="s">
        <v>56</v>
      </c>
      <c r="L9" s="98" t="s">
        <v>55</v>
      </c>
    </row>
    <row r="10" spans="2:16" ht="38.25" customHeight="1">
      <c r="B10" s="205"/>
      <c r="C10" s="99" t="s">
        <v>54</v>
      </c>
      <c r="D10" s="99" t="s">
        <v>53</v>
      </c>
      <c r="E10" s="99" t="s">
        <v>54</v>
      </c>
      <c r="F10" s="99" t="s">
        <v>53</v>
      </c>
      <c r="G10" s="99" t="s">
        <v>54</v>
      </c>
      <c r="H10" s="99" t="s">
        <v>53</v>
      </c>
      <c r="I10" s="99" t="s">
        <v>54</v>
      </c>
      <c r="J10" s="99" t="s">
        <v>53</v>
      </c>
      <c r="K10" s="99" t="s">
        <v>54</v>
      </c>
      <c r="L10" s="100" t="s">
        <v>53</v>
      </c>
    </row>
    <row r="11" spans="2:16" ht="40.15" customHeight="1">
      <c r="B11" s="101" t="s">
        <v>79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3"/>
    </row>
    <row r="12" spans="2:16" s="18" customFormat="1" ht="34.9" hidden="1" customHeight="1">
      <c r="B12" s="5">
        <v>2000</v>
      </c>
      <c r="C12" s="7">
        <v>1987.3</v>
      </c>
      <c r="D12" s="7">
        <v>-21.119491861849944</v>
      </c>
      <c r="E12" s="7">
        <v>1197.4000000000001</v>
      </c>
      <c r="F12" s="7">
        <v>-3.2336297493936947</v>
      </c>
      <c r="G12" s="7">
        <v>998.1</v>
      </c>
      <c r="H12" s="7">
        <v>-9.7649186256781171</v>
      </c>
      <c r="I12" s="7">
        <v>751.5</v>
      </c>
      <c r="J12" s="7">
        <v>-21.829521829521827</v>
      </c>
      <c r="K12" s="7">
        <v>1330.5</v>
      </c>
      <c r="L12" s="7">
        <v>-20.489844683393077</v>
      </c>
    </row>
    <row r="13" spans="2:16" s="18" customFormat="1" ht="34.9" hidden="1" customHeight="1">
      <c r="B13" s="9">
        <v>2001</v>
      </c>
      <c r="C13" s="11">
        <v>2752</v>
      </c>
      <c r="D13" s="11">
        <v>38.500251635631599</v>
      </c>
      <c r="E13" s="11">
        <v>1332</v>
      </c>
      <c r="F13" s="11">
        <v>11.278195488721799</v>
      </c>
      <c r="G13" s="11">
        <v>1093.9000000000001</v>
      </c>
      <c r="H13" s="11">
        <v>9.6192384769539174</v>
      </c>
      <c r="I13" s="11">
        <v>917.2</v>
      </c>
      <c r="J13" s="11">
        <v>21.941489361702125</v>
      </c>
      <c r="K13" s="11">
        <v>1727.2</v>
      </c>
      <c r="L13" s="11">
        <v>29.752066115702469</v>
      </c>
    </row>
    <row r="14" spans="2:16" s="18" customFormat="1" ht="34.9" hidden="1" customHeight="1">
      <c r="B14" s="5">
        <v>2002</v>
      </c>
      <c r="C14" s="7">
        <v>2556.6</v>
      </c>
      <c r="D14" s="7">
        <v>-7.0857558139534866</v>
      </c>
      <c r="E14" s="7">
        <v>1499.3</v>
      </c>
      <c r="F14" s="7">
        <v>12.537537537537499</v>
      </c>
      <c r="G14" s="7">
        <v>1060.2</v>
      </c>
      <c r="H14" s="7">
        <v>-3.1078610603290757</v>
      </c>
      <c r="I14" s="7">
        <v>1016.1</v>
      </c>
      <c r="J14" s="7">
        <v>10.796074154852775</v>
      </c>
      <c r="K14" s="7">
        <v>1700.2</v>
      </c>
      <c r="L14" s="7">
        <v>-1.5634047481181135</v>
      </c>
    </row>
    <row r="15" spans="2:16" s="18" customFormat="1" ht="34.9" hidden="1" customHeight="1">
      <c r="B15" s="9">
        <v>2003</v>
      </c>
      <c r="C15" s="11">
        <v>4433.6000000000004</v>
      </c>
      <c r="D15" s="11">
        <v>73.400000000000006</v>
      </c>
      <c r="E15" s="11">
        <v>2287.6</v>
      </c>
      <c r="F15" s="11">
        <v>52.6</v>
      </c>
      <c r="G15" s="11">
        <v>1266.7</v>
      </c>
      <c r="H15" s="11">
        <v>19.5</v>
      </c>
      <c r="I15" s="11">
        <v>1481.6</v>
      </c>
      <c r="J15" s="11">
        <v>45.9</v>
      </c>
      <c r="K15" s="11">
        <v>2614.5</v>
      </c>
      <c r="L15" s="11">
        <v>53.8</v>
      </c>
    </row>
    <row r="16" spans="2:16" s="18" customFormat="1" ht="34.9" hidden="1" customHeight="1">
      <c r="B16" s="5">
        <v>2004</v>
      </c>
      <c r="C16" s="7">
        <v>7230.9</v>
      </c>
      <c r="D16" s="7">
        <v>63.078484438430294</v>
      </c>
      <c r="E16" s="7">
        <v>3726.9</v>
      </c>
      <c r="F16" s="7">
        <v>62.888986013986028</v>
      </c>
      <c r="G16" s="7">
        <v>1874.4</v>
      </c>
      <c r="H16" s="7">
        <v>47.940015785319659</v>
      </c>
      <c r="I16" s="7">
        <v>2526.9</v>
      </c>
      <c r="J16" s="7">
        <v>70.512820512820511</v>
      </c>
      <c r="K16" s="7">
        <v>4245.6000000000004</v>
      </c>
      <c r="L16" s="7">
        <v>62.355640535372856</v>
      </c>
    </row>
    <row r="17" spans="2:12" s="18" customFormat="1" ht="34.9" hidden="1" customHeight="1">
      <c r="B17" s="9">
        <v>2005</v>
      </c>
      <c r="C17" s="11">
        <v>16892</v>
      </c>
      <c r="D17" s="11">
        <v>133.60854112212866</v>
      </c>
      <c r="E17" s="11">
        <v>7382.4</v>
      </c>
      <c r="F17" s="11">
        <v>98.084198663768802</v>
      </c>
      <c r="G17" s="11">
        <v>3332.5</v>
      </c>
      <c r="H17" s="11">
        <v>77.790226205719165</v>
      </c>
      <c r="I17" s="11">
        <v>2903.4</v>
      </c>
      <c r="J17" s="11">
        <v>14.89967944912739</v>
      </c>
      <c r="K17" s="11">
        <v>8191.5</v>
      </c>
      <c r="L17" s="11">
        <v>92.940927077444869</v>
      </c>
    </row>
    <row r="18" spans="2:12" s="18" customFormat="1" ht="34.9" hidden="1" customHeight="1">
      <c r="B18" s="5">
        <v>2006</v>
      </c>
      <c r="C18" s="7">
        <v>10704.7</v>
      </c>
      <c r="D18" s="7">
        <v>-36.628581577077902</v>
      </c>
      <c r="E18" s="7">
        <v>4156.3</v>
      </c>
      <c r="F18" s="7">
        <v>-43.699880797572597</v>
      </c>
      <c r="G18" s="7">
        <v>2286.6</v>
      </c>
      <c r="H18" s="7">
        <v>-31.38484621155289</v>
      </c>
      <c r="I18" s="7">
        <v>2507.6</v>
      </c>
      <c r="J18" s="7">
        <v>-13.632293173520708</v>
      </c>
      <c r="K18" s="7">
        <v>5518.1</v>
      </c>
      <c r="L18" s="7">
        <v>-32.636269303546356</v>
      </c>
    </row>
    <row r="19" spans="2:12" s="18" customFormat="1" ht="34.9" hidden="1" customHeight="1">
      <c r="B19" s="9">
        <v>2007</v>
      </c>
      <c r="C19" s="11">
        <v>13886.7</v>
      </c>
      <c r="D19" s="11">
        <v>29.725260866722092</v>
      </c>
      <c r="E19" s="11">
        <v>4900.3999999999996</v>
      </c>
      <c r="F19" s="11">
        <v>17.902942520992205</v>
      </c>
      <c r="G19" s="11">
        <v>2740.3</v>
      </c>
      <c r="H19" s="11">
        <v>19.841686346540733</v>
      </c>
      <c r="I19" s="11">
        <v>4565.5</v>
      </c>
      <c r="J19" s="11">
        <v>82.06651778593077</v>
      </c>
      <c r="K19" s="11">
        <v>7519.3</v>
      </c>
      <c r="L19" s="11">
        <v>36.266106087240168</v>
      </c>
    </row>
    <row r="20" spans="2:12" s="18" customFormat="1" ht="34.9" hidden="1" customHeight="1">
      <c r="B20" s="5">
        <v>2008</v>
      </c>
      <c r="C20" s="7">
        <v>11380.1</v>
      </c>
      <c r="D20" s="7">
        <v>-18.050364737482631</v>
      </c>
      <c r="E20" s="7">
        <v>3821.3</v>
      </c>
      <c r="F20" s="7">
        <v>-22.020651375397918</v>
      </c>
      <c r="G20" s="7">
        <v>1865.6</v>
      </c>
      <c r="H20" s="7">
        <v>-31.919862788745768</v>
      </c>
      <c r="I20" s="7">
        <v>4560.1000000000004</v>
      </c>
      <c r="J20" s="7">
        <v>-0.11827839228999314</v>
      </c>
      <c r="K20" s="7">
        <v>6243.1</v>
      </c>
      <c r="L20" s="7">
        <v>-16.972324551487503</v>
      </c>
    </row>
    <row r="21" spans="2:12" s="18" customFormat="1" ht="34.9" hidden="1" customHeight="1">
      <c r="B21" s="9">
        <v>2009</v>
      </c>
      <c r="C21" s="11">
        <v>9368</v>
      </c>
      <c r="D21" s="11">
        <v>-17.7</v>
      </c>
      <c r="E21" s="11">
        <v>3943.6</v>
      </c>
      <c r="F21" s="11">
        <v>3.2</v>
      </c>
      <c r="G21" s="11">
        <v>1700.6</v>
      </c>
      <c r="H21" s="11">
        <v>-8.8000000000000007</v>
      </c>
      <c r="I21" s="11">
        <v>4563.2</v>
      </c>
      <c r="J21" s="11">
        <v>0.1</v>
      </c>
      <c r="K21" s="11">
        <v>5520.1</v>
      </c>
      <c r="L21" s="11">
        <v>-11.580785186846278</v>
      </c>
    </row>
    <row r="22" spans="2:12" s="18" customFormat="1" ht="34.9" hidden="1" customHeight="1">
      <c r="B22" s="5">
        <v>2010</v>
      </c>
      <c r="C22" s="7">
        <v>8848.2999999999993</v>
      </c>
      <c r="D22" s="7">
        <v>-5.5476088812980437</v>
      </c>
      <c r="E22" s="7">
        <v>2103.5</v>
      </c>
      <c r="F22" s="7">
        <v>-46.660411806471238</v>
      </c>
      <c r="G22" s="7">
        <v>1506.4</v>
      </c>
      <c r="H22" s="7">
        <v>-11.419499000352806</v>
      </c>
      <c r="I22" s="7">
        <v>4841.7</v>
      </c>
      <c r="J22" s="7">
        <v>6.1031732117812068</v>
      </c>
      <c r="K22" s="7">
        <v>5318</v>
      </c>
      <c r="L22" s="7">
        <v>-3.6611655585949596</v>
      </c>
    </row>
    <row r="23" spans="2:12" s="18" customFormat="1" ht="34.9" hidden="1" customHeight="1">
      <c r="B23" s="9">
        <v>2011</v>
      </c>
      <c r="C23" s="11">
        <v>7542.3</v>
      </c>
      <c r="D23" s="11">
        <v>-14.759897381417892</v>
      </c>
      <c r="E23" s="11">
        <v>1703.7</v>
      </c>
      <c r="F23" s="11">
        <v>-19.006417874970285</v>
      </c>
      <c r="G23" s="11">
        <v>1302.0999999999999</v>
      </c>
      <c r="H23" s="11">
        <v>-13.562134891131187</v>
      </c>
      <c r="I23" s="11">
        <v>4427.3999999999996</v>
      </c>
      <c r="J23" s="11">
        <v>-8.5569118284899979</v>
      </c>
      <c r="K23" s="11">
        <v>4648.3999999999996</v>
      </c>
      <c r="L23" s="11">
        <v>-12.59119969913502</v>
      </c>
    </row>
    <row r="24" spans="2:12" s="18" customFormat="1" ht="34.9" hidden="1" customHeight="1">
      <c r="B24" s="5">
        <v>2012</v>
      </c>
      <c r="C24" s="7">
        <v>7297.3646745222804</v>
      </c>
      <c r="D24" s="7">
        <v>2.3203675990582706</v>
      </c>
      <c r="E24" s="7">
        <v>1251.0307566255822</v>
      </c>
      <c r="F24" s="7">
        <v>-2.3225237004486976</v>
      </c>
      <c r="G24" s="7">
        <v>1240.3888111042536</v>
      </c>
      <c r="H24" s="7">
        <v>0.28982101132204452</v>
      </c>
      <c r="I24" s="7">
        <v>4606.364542849954</v>
      </c>
      <c r="J24" s="7">
        <v>-2.1443864733773021</v>
      </c>
      <c r="K24" s="7">
        <v>4593.945989906776</v>
      </c>
      <c r="L24" s="7">
        <v>-1.1714570624994318</v>
      </c>
    </row>
    <row r="25" spans="2:12" s="18" customFormat="1" ht="34.9" hidden="1" customHeight="1">
      <c r="B25" s="9">
        <v>2013</v>
      </c>
      <c r="C25" s="11">
        <v>8035.2</v>
      </c>
      <c r="D25" s="11">
        <v>10.110983325991185</v>
      </c>
      <c r="E25" s="11">
        <v>1214.0999999999999</v>
      </c>
      <c r="F25" s="11">
        <v>-2.9520262735343139</v>
      </c>
      <c r="G25" s="11">
        <v>1255.0999999999999</v>
      </c>
      <c r="H25" s="11">
        <v>1.1860143177726545</v>
      </c>
      <c r="I25" s="11">
        <v>3210.4</v>
      </c>
      <c r="J25" s="11">
        <v>-30.305125221076658</v>
      </c>
      <c r="K25" s="11">
        <v>4336.7</v>
      </c>
      <c r="L25" s="11">
        <v>-5.5996737983416427</v>
      </c>
    </row>
    <row r="26" spans="2:12" s="18" customFormat="1" ht="34.9" hidden="1" customHeight="1">
      <c r="B26" s="5">
        <v>2014</v>
      </c>
      <c r="C26" s="7">
        <v>8373</v>
      </c>
      <c r="D26" s="7">
        <v>4.204002389486261</v>
      </c>
      <c r="E26" s="7">
        <v>1337.7</v>
      </c>
      <c r="F26" s="7">
        <v>10.18038052878676</v>
      </c>
      <c r="G26" s="7">
        <v>1211.2</v>
      </c>
      <c r="H26" s="7">
        <v>-3.4977292646004243</v>
      </c>
      <c r="I26" s="7">
        <v>2691.3</v>
      </c>
      <c r="J26" s="7">
        <v>-16.16932469474208</v>
      </c>
      <c r="K26" s="7">
        <v>4237.6000000000004</v>
      </c>
      <c r="L26" s="7">
        <v>-2.2851476929462322</v>
      </c>
    </row>
    <row r="27" spans="2:12" s="18" customFormat="1" ht="34.9" hidden="1" customHeight="1">
      <c r="B27" s="9">
        <v>2015</v>
      </c>
      <c r="C27" s="11">
        <v>8463.7081734238291</v>
      </c>
      <c r="D27" s="11">
        <v>1.0833413761355493</v>
      </c>
      <c r="E27" s="11">
        <v>1369.6384198667622</v>
      </c>
      <c r="F27" s="11">
        <v>2.3875622237244709</v>
      </c>
      <c r="G27" s="11">
        <v>1141.0435128476345</v>
      </c>
      <c r="H27" s="11">
        <v>-5.7923123474542209</v>
      </c>
      <c r="I27" s="11">
        <v>2731.1872294926593</v>
      </c>
      <c r="J27" s="11">
        <v>1.4820803883869971</v>
      </c>
      <c r="K27" s="11">
        <v>4229.8985014843811</v>
      </c>
      <c r="L27" s="11">
        <v>-0.18174198875824388</v>
      </c>
    </row>
    <row r="28" spans="2:12" s="18" customFormat="1" ht="34.9" hidden="1" customHeight="1">
      <c r="B28" s="5">
        <v>2016</v>
      </c>
      <c r="C28" s="7">
        <v>8444.4586464647746</v>
      </c>
      <c r="D28" s="7">
        <v>-0.22743609024113987</v>
      </c>
      <c r="E28" s="7">
        <v>1385.4375279846693</v>
      </c>
      <c r="F28" s="7">
        <v>1.1535240169039618</v>
      </c>
      <c r="G28" s="7">
        <v>954.49598590808739</v>
      </c>
      <c r="H28" s="7">
        <v>-16.348853031379274</v>
      </c>
      <c r="I28" s="7">
        <v>2648.6565739859716</v>
      </c>
      <c r="J28" s="7">
        <v>-3.0217868118114555</v>
      </c>
      <c r="K28" s="7">
        <v>4069.7225241496649</v>
      </c>
      <c r="L28" s="7">
        <v>-3.7867569937790724</v>
      </c>
    </row>
    <row r="29" spans="2:12" s="18" customFormat="1" ht="34.9" hidden="1" customHeight="1">
      <c r="B29" s="9">
        <v>2017</v>
      </c>
      <c r="C29" s="11">
        <v>8335.2075633321838</v>
      </c>
      <c r="D29" s="11">
        <v>-1.2937606506999488</v>
      </c>
      <c r="E29" s="11">
        <v>1261.2365307485024</v>
      </c>
      <c r="F29" s="11">
        <v>-8.9647490216925299</v>
      </c>
      <c r="G29" s="11">
        <v>933.72517301051164</v>
      </c>
      <c r="H29" s="11">
        <v>-2.176102697573401</v>
      </c>
      <c r="I29" s="11">
        <v>2615.8493709279396</v>
      </c>
      <c r="J29" s="11">
        <v>-1.2386355928605819</v>
      </c>
      <c r="K29" s="11">
        <v>4009.4376736046602</v>
      </c>
      <c r="L29" s="11">
        <v>-1.4813012481139753</v>
      </c>
    </row>
    <row r="30" spans="2:12" s="18" customFormat="1" ht="34.9" hidden="1" customHeight="1">
      <c r="B30" s="5">
        <v>2018</v>
      </c>
      <c r="C30" s="7">
        <v>8245.9753973740189</v>
      </c>
      <c r="D30" s="7">
        <v>-1.0705452177425134</v>
      </c>
      <c r="E30" s="7">
        <v>1376.5080733196182</v>
      </c>
      <c r="F30" s="7">
        <v>9.1395657960133612</v>
      </c>
      <c r="G30" s="7">
        <v>796.81909851759804</v>
      </c>
      <c r="H30" s="7">
        <v>-14.66235231203008</v>
      </c>
      <c r="I30" s="7">
        <v>2311.3684513671355</v>
      </c>
      <c r="J30" s="7">
        <v>-11.639849103879907</v>
      </c>
      <c r="K30" s="7">
        <v>3797.0892427555327</v>
      </c>
      <c r="L30" s="7">
        <v>-5.2962147846088552</v>
      </c>
    </row>
    <row r="31" spans="2:12" s="18" customFormat="1" ht="34.9" hidden="1" customHeight="1">
      <c r="B31" s="9">
        <v>2019</v>
      </c>
      <c r="C31" s="11">
        <v>7095.6458588667792</v>
      </c>
      <c r="D31" s="11">
        <v>-13.950193677191535</v>
      </c>
      <c r="E31" s="11">
        <v>1282.5082787281942</v>
      </c>
      <c r="F31" s="11">
        <v>-6.8288589375819608</v>
      </c>
      <c r="G31" s="11">
        <v>735.73319286472645</v>
      </c>
      <c r="H31" s="11">
        <v>-7.6662200700906569</v>
      </c>
      <c r="I31" s="11">
        <v>2613.1626543063044</v>
      </c>
      <c r="J31" s="11">
        <v>13.056949131613461</v>
      </c>
      <c r="K31" s="11">
        <v>3513.7610656378256</v>
      </c>
      <c r="L31" s="11">
        <v>-7.4617202547522137</v>
      </c>
    </row>
    <row r="32" spans="2:12" s="18" customFormat="1" ht="34.9" hidden="1" customHeight="1">
      <c r="B32" s="5" t="s">
        <v>143</v>
      </c>
      <c r="C32" s="7">
        <v>5410.6412094494262</v>
      </c>
      <c r="D32" s="7">
        <v>-23.747022933955432</v>
      </c>
      <c r="E32" s="7">
        <v>1309.1805290632385</v>
      </c>
      <c r="F32" s="7">
        <v>2.0796942037281774</v>
      </c>
      <c r="G32" s="7">
        <v>704.24351651232905</v>
      </c>
      <c r="H32" s="7">
        <v>-4.2800401908993591</v>
      </c>
      <c r="I32" s="7">
        <v>2818.0249936027922</v>
      </c>
      <c r="J32" s="7">
        <v>7.8396321391968948</v>
      </c>
      <c r="K32" s="7">
        <v>3049.574583213036</v>
      </c>
      <c r="L32" s="7">
        <v>-13.210530646611552</v>
      </c>
    </row>
    <row r="33" spans="2:12" s="18" customFormat="1" ht="34.9" customHeight="1">
      <c r="B33" s="9">
        <v>2021</v>
      </c>
      <c r="C33" s="11">
        <v>6566.3725669025489</v>
      </c>
      <c r="D33" s="11">
        <v>21.360339980309419</v>
      </c>
      <c r="E33" s="11">
        <v>1328.3496128329086</v>
      </c>
      <c r="F33" s="11">
        <v>1.4642047711621808</v>
      </c>
      <c r="G33" s="11">
        <v>782.37513604242156</v>
      </c>
      <c r="H33" s="11">
        <v>11.094403810350828</v>
      </c>
      <c r="I33" s="11">
        <v>4700.4878105064408</v>
      </c>
      <c r="J33" s="11">
        <v>66.800784988672348</v>
      </c>
      <c r="K33" s="11">
        <v>4005.2714181200786</v>
      </c>
      <c r="L33" s="11">
        <v>31.33869360558872</v>
      </c>
    </row>
    <row r="34" spans="2:12" s="18" customFormat="1" ht="34.9" customHeight="1">
      <c r="B34" s="5">
        <v>2022</v>
      </c>
      <c r="C34" s="7">
        <v>6753.66</v>
      </c>
      <c r="D34" s="7">
        <v>2.8522206315472198</v>
      </c>
      <c r="E34" s="7">
        <v>1331.66</v>
      </c>
      <c r="F34" s="7">
        <v>0.24921053426827378</v>
      </c>
      <c r="G34" s="7">
        <v>852.07</v>
      </c>
      <c r="H34" s="7">
        <v>8.9081133521348832</v>
      </c>
      <c r="I34" s="7">
        <v>6882.07</v>
      </c>
      <c r="J34" s="7">
        <v>46.411825270928865</v>
      </c>
      <c r="K34" s="7">
        <v>4730.37</v>
      </c>
      <c r="L34" s="7">
        <v>18.103606626994949</v>
      </c>
    </row>
    <row r="35" spans="2:12" s="18" customFormat="1" ht="34.9" customHeight="1">
      <c r="B35" s="9">
        <v>2023</v>
      </c>
      <c r="C35" s="11">
        <v>6735.62</v>
      </c>
      <c r="D35" s="11">
        <v>-0.26711442388275941</v>
      </c>
      <c r="E35" s="11">
        <v>1284.93</v>
      </c>
      <c r="F35" s="11">
        <v>-3.5091539882552638</v>
      </c>
      <c r="G35" s="11">
        <v>878.63</v>
      </c>
      <c r="H35" s="11">
        <v>3.1171147910382899</v>
      </c>
      <c r="I35" s="11">
        <v>5706.68</v>
      </c>
      <c r="J35" s="11">
        <v>-17.079018376738389</v>
      </c>
      <c r="K35" s="11">
        <v>4416.32</v>
      </c>
      <c r="L35" s="11">
        <v>-6.639015552694616</v>
      </c>
    </row>
    <row r="36" spans="2:12" s="18" customFormat="1" ht="34.9" customHeight="1">
      <c r="B36" s="5">
        <v>2024</v>
      </c>
      <c r="C36" s="7">
        <v>6553.27</v>
      </c>
      <c r="D36" s="7">
        <f>C36/C35*100-100</f>
        <v>-2.7072489243751789</v>
      </c>
      <c r="E36" s="7">
        <v>1376.04</v>
      </c>
      <c r="F36" s="7">
        <f>E36/E35*100-100</f>
        <v>7.0906586351007377</v>
      </c>
      <c r="G36" s="7">
        <v>863.65</v>
      </c>
      <c r="H36" s="7">
        <f>G36/G35*100-100</f>
        <v>-1.7049269886072693</v>
      </c>
      <c r="I36" s="7">
        <v>6739.07</v>
      </c>
      <c r="J36" s="7">
        <f>I36/I35*100-100</f>
        <v>18.090903993214951</v>
      </c>
      <c r="K36" s="7">
        <v>4633.5600000000004</v>
      </c>
      <c r="L36" s="7">
        <f>K36/K35*100-100</f>
        <v>4.919027606695181</v>
      </c>
    </row>
    <row r="37" spans="2:12" s="18" customFormat="1" ht="34.9" customHeight="1">
      <c r="B37" s="9">
        <v>2025</v>
      </c>
      <c r="C37" s="11">
        <v>9443.64</v>
      </c>
      <c r="D37" s="11">
        <f>C37/C36*100-100</f>
        <v>44.105767044544166</v>
      </c>
      <c r="E37" s="11">
        <v>1783.24</v>
      </c>
      <c r="F37" s="11">
        <f>E37/E36*100-100</f>
        <v>29.592163018516914</v>
      </c>
      <c r="G37" s="11">
        <v>1087.75</v>
      </c>
      <c r="H37" s="11">
        <f>G37/G36*100-100</f>
        <v>25.948011347189251</v>
      </c>
      <c r="I37" s="11">
        <v>11403.03</v>
      </c>
      <c r="J37" s="11">
        <f>I37/I36*100-100</f>
        <v>69.207769024509332</v>
      </c>
      <c r="K37" s="11">
        <v>7056.03</v>
      </c>
      <c r="L37" s="11">
        <f>K37/K36*100-100</f>
        <v>52.280967549788897</v>
      </c>
    </row>
    <row r="38" spans="2:12" s="18" customFormat="1" ht="34.9" hidden="1" customHeight="1">
      <c r="B38" s="3">
        <v>2000</v>
      </c>
      <c r="C38" s="96"/>
      <c r="D38" s="96"/>
      <c r="E38" s="93"/>
      <c r="F38" s="93"/>
      <c r="G38" s="93"/>
      <c r="H38" s="93"/>
      <c r="I38" s="93"/>
      <c r="J38" s="93"/>
      <c r="K38" s="93"/>
      <c r="L38" s="93"/>
    </row>
    <row r="39" spans="2:12" s="18" customFormat="1" ht="34.9" hidden="1" customHeight="1">
      <c r="B39" s="14">
        <v>36526</v>
      </c>
      <c r="C39" s="7">
        <v>244.3</v>
      </c>
      <c r="D39" s="7">
        <v>-3</v>
      </c>
      <c r="E39" s="7">
        <v>122.9</v>
      </c>
      <c r="F39" s="7" t="s">
        <v>89</v>
      </c>
      <c r="G39" s="7">
        <v>112.3</v>
      </c>
      <c r="H39" s="7">
        <v>1.5</v>
      </c>
      <c r="I39" s="7">
        <v>93</v>
      </c>
      <c r="J39" s="7">
        <v>-3.3</v>
      </c>
      <c r="K39" s="7">
        <v>162.6</v>
      </c>
      <c r="L39" s="7">
        <v>-2.9</v>
      </c>
    </row>
    <row r="40" spans="2:12" s="18" customFormat="1" ht="34.9" hidden="1" customHeight="1">
      <c r="B40" s="15">
        <v>36557</v>
      </c>
      <c r="C40" s="11">
        <v>239.7</v>
      </c>
      <c r="D40" s="11">
        <v>-1.9</v>
      </c>
      <c r="E40" s="11">
        <v>124.4</v>
      </c>
      <c r="F40" s="11">
        <v>1.2205044751830707</v>
      </c>
      <c r="G40" s="11">
        <v>111.1</v>
      </c>
      <c r="H40" s="11">
        <v>-1.1000000000000001</v>
      </c>
      <c r="I40" s="11">
        <v>90.4</v>
      </c>
      <c r="J40" s="11">
        <v>-2.8</v>
      </c>
      <c r="K40" s="11">
        <v>159.30000000000001</v>
      </c>
      <c r="L40" s="11">
        <v>-2</v>
      </c>
    </row>
    <row r="41" spans="2:12" s="18" customFormat="1" ht="34.9" hidden="1" customHeight="1">
      <c r="B41" s="14">
        <v>36586</v>
      </c>
      <c r="C41" s="7">
        <v>230.1</v>
      </c>
      <c r="D41" s="7">
        <v>-5.8125255832992329</v>
      </c>
      <c r="E41" s="7">
        <v>122.4</v>
      </c>
      <c r="F41" s="7">
        <v>-1.6077170418006381</v>
      </c>
      <c r="G41" s="7">
        <v>106.1</v>
      </c>
      <c r="H41" s="7">
        <v>-5.5209260908281372</v>
      </c>
      <c r="I41" s="7">
        <v>87.9</v>
      </c>
      <c r="J41" s="7">
        <v>-5.4838709677419324</v>
      </c>
      <c r="K41" s="7">
        <v>153.6</v>
      </c>
      <c r="L41" s="7">
        <v>-5.5350553505535078</v>
      </c>
    </row>
    <row r="42" spans="2:12" s="18" customFormat="1" ht="34.9" hidden="1" customHeight="1">
      <c r="B42" s="15">
        <v>36617</v>
      </c>
      <c r="C42" s="11">
        <v>218.6</v>
      </c>
      <c r="D42" s="11">
        <v>-5</v>
      </c>
      <c r="E42" s="11">
        <v>120.2</v>
      </c>
      <c r="F42" s="11">
        <v>-1.7973856209150374</v>
      </c>
      <c r="G42" s="11">
        <v>103.4</v>
      </c>
      <c r="H42" s="11">
        <v>-2.5</v>
      </c>
      <c r="I42" s="11">
        <v>84.4</v>
      </c>
      <c r="J42" s="11">
        <v>-4</v>
      </c>
      <c r="K42" s="11">
        <v>146.5</v>
      </c>
      <c r="L42" s="11">
        <v>-4.5999999999999996</v>
      </c>
    </row>
    <row r="43" spans="2:12" s="18" customFormat="1" ht="34.9" hidden="1" customHeight="1">
      <c r="B43" s="14">
        <v>36647</v>
      </c>
      <c r="C43" s="7">
        <v>224.8</v>
      </c>
      <c r="D43" s="7">
        <v>2.8</v>
      </c>
      <c r="E43" s="7">
        <v>114.8</v>
      </c>
      <c r="F43" s="7">
        <v>-4.4925124792013378</v>
      </c>
      <c r="G43" s="7">
        <v>102.5</v>
      </c>
      <c r="H43" s="7">
        <v>-0.9</v>
      </c>
      <c r="I43" s="7">
        <v>82</v>
      </c>
      <c r="J43" s="7">
        <v>-2.8</v>
      </c>
      <c r="K43" s="7">
        <v>147.69999999999999</v>
      </c>
      <c r="L43" s="7">
        <v>0.8</v>
      </c>
    </row>
    <row r="44" spans="2:12" s="18" customFormat="1" ht="34.9" hidden="1" customHeight="1">
      <c r="B44" s="15">
        <v>36678</v>
      </c>
      <c r="C44" s="11">
        <v>212.2</v>
      </c>
      <c r="D44" s="11">
        <v>-5.6049822064057064</v>
      </c>
      <c r="E44" s="11">
        <v>114.8</v>
      </c>
      <c r="F44" s="11">
        <v>0</v>
      </c>
      <c r="G44" s="11">
        <v>108.8</v>
      </c>
      <c r="H44" s="11">
        <v>6.1463414634146396</v>
      </c>
      <c r="I44" s="11">
        <v>82.5</v>
      </c>
      <c r="J44" s="11">
        <v>0.60975609756097615</v>
      </c>
      <c r="K44" s="11">
        <v>143.19999999999999</v>
      </c>
      <c r="L44" s="11">
        <v>-3.0467163168584999</v>
      </c>
    </row>
    <row r="45" spans="2:12" s="18" customFormat="1" ht="34.9" hidden="1" customHeight="1">
      <c r="B45" s="14">
        <v>36708</v>
      </c>
      <c r="C45" s="7">
        <v>211.4</v>
      </c>
      <c r="D45" s="7">
        <v>-0.37700282752120007</v>
      </c>
      <c r="E45" s="7">
        <v>117.8</v>
      </c>
      <c r="F45" s="7">
        <v>2.6132404181184565</v>
      </c>
      <c r="G45" s="7">
        <v>101.9</v>
      </c>
      <c r="H45" s="7">
        <v>-6.3419117647058769</v>
      </c>
      <c r="I45" s="7">
        <v>76.099999999999994</v>
      </c>
      <c r="J45" s="7">
        <v>-7.7575757575757631</v>
      </c>
      <c r="K45" s="7">
        <v>139</v>
      </c>
      <c r="L45" s="7">
        <v>-2.9329608938547413</v>
      </c>
    </row>
    <row r="46" spans="2:12" s="18" customFormat="1" ht="34.9" hidden="1" customHeight="1">
      <c r="B46" s="15">
        <v>36739</v>
      </c>
      <c r="C46" s="11">
        <v>202.5</v>
      </c>
      <c r="D46" s="11">
        <v>-4.2100283822138156</v>
      </c>
      <c r="E46" s="11">
        <v>117.4</v>
      </c>
      <c r="F46" s="11">
        <v>-0.33955857385398192</v>
      </c>
      <c r="G46" s="11">
        <v>98.4</v>
      </c>
      <c r="H46" s="11">
        <v>-3.4347399411187474</v>
      </c>
      <c r="I46" s="11">
        <v>75.2</v>
      </c>
      <c r="J46" s="11">
        <v>-1.1826544021024898</v>
      </c>
      <c r="K46" s="11">
        <v>134.5</v>
      </c>
      <c r="L46" s="11">
        <v>-3.2374100719424481</v>
      </c>
    </row>
    <row r="47" spans="2:12" s="18" customFormat="1" ht="34.9" hidden="1" customHeight="1">
      <c r="B47" s="14">
        <v>36770</v>
      </c>
      <c r="C47" s="7">
        <v>197.5</v>
      </c>
      <c r="D47" s="7">
        <v>-2.4691358024691357</v>
      </c>
      <c r="E47" s="7">
        <v>120</v>
      </c>
      <c r="F47" s="7">
        <v>2.2146507666098714</v>
      </c>
      <c r="G47" s="7">
        <v>99</v>
      </c>
      <c r="H47" s="7">
        <v>0.60975609756097615</v>
      </c>
      <c r="I47" s="7">
        <v>75.5</v>
      </c>
      <c r="J47" s="7">
        <v>0.39893617021276029</v>
      </c>
      <c r="K47" s="7">
        <v>132.69999999999999</v>
      </c>
      <c r="L47" s="7">
        <v>-1.3382899628252898</v>
      </c>
    </row>
    <row r="48" spans="2:12" s="18" customFormat="1" ht="34.9" hidden="1" customHeight="1">
      <c r="B48" s="15">
        <v>36800</v>
      </c>
      <c r="C48" s="11">
        <v>205.1</v>
      </c>
      <c r="D48" s="11">
        <v>3.8481012658227787</v>
      </c>
      <c r="E48" s="11">
        <v>121.4</v>
      </c>
      <c r="F48" s="11">
        <v>1.1666666666666714</v>
      </c>
      <c r="G48" s="11">
        <v>99.8</v>
      </c>
      <c r="H48" s="11">
        <v>0.80808080808081328</v>
      </c>
      <c r="I48" s="11">
        <v>75.7</v>
      </c>
      <c r="J48" s="11">
        <v>0.26490066225166586</v>
      </c>
      <c r="K48" s="11">
        <v>136</v>
      </c>
      <c r="L48" s="11">
        <v>2.4868123587038493</v>
      </c>
    </row>
    <row r="49" spans="2:12" s="18" customFormat="1" ht="34.9" hidden="1" customHeight="1">
      <c r="B49" s="14">
        <v>36831</v>
      </c>
      <c r="C49" s="7">
        <v>201.1</v>
      </c>
      <c r="D49" s="7">
        <v>-1.9502681618722595</v>
      </c>
      <c r="E49" s="7">
        <v>122.7</v>
      </c>
      <c r="F49" s="7">
        <v>1.0708401976935678</v>
      </c>
      <c r="G49" s="7">
        <v>99.9</v>
      </c>
      <c r="H49" s="7">
        <v>0.10020040080160886</v>
      </c>
      <c r="I49" s="7">
        <v>75.3</v>
      </c>
      <c r="J49" s="7">
        <v>-0.52840158520476299</v>
      </c>
      <c r="K49" s="7">
        <v>134.19999999999999</v>
      </c>
      <c r="L49" s="7">
        <v>-1.3235294117647123</v>
      </c>
    </row>
    <row r="50" spans="2:12" s="18" customFormat="1" ht="34.9" hidden="1" customHeight="1">
      <c r="B50" s="15">
        <v>36861</v>
      </c>
      <c r="C50" s="11">
        <v>198.7</v>
      </c>
      <c r="D50" s="11">
        <v>-1.1934361014420691</v>
      </c>
      <c r="E50" s="11">
        <v>119.7</v>
      </c>
      <c r="F50" s="11">
        <v>-2.4449877750611249</v>
      </c>
      <c r="G50" s="11">
        <v>99.8</v>
      </c>
      <c r="H50" s="11">
        <v>-0.10010010010010895</v>
      </c>
      <c r="I50" s="11">
        <v>75.2</v>
      </c>
      <c r="J50" s="11">
        <v>-0.13280212483398612</v>
      </c>
      <c r="K50" s="11">
        <v>133.1</v>
      </c>
      <c r="L50" s="11">
        <v>-0.81967213114754189</v>
      </c>
    </row>
    <row r="51" spans="2:12" s="18" customFormat="1" ht="34.9" hidden="1" customHeight="1">
      <c r="B51" s="3">
        <v>2001</v>
      </c>
      <c r="C51" s="96"/>
      <c r="D51" s="96"/>
      <c r="E51" s="93"/>
      <c r="F51" s="93"/>
      <c r="G51" s="93"/>
      <c r="H51" s="93"/>
      <c r="I51" s="93"/>
      <c r="J51" s="93"/>
      <c r="K51" s="93"/>
      <c r="L51" s="93"/>
    </row>
    <row r="52" spans="2:12" s="18" customFormat="1" ht="34.9" hidden="1" customHeight="1">
      <c r="B52" s="14">
        <v>36892</v>
      </c>
      <c r="C52" s="7">
        <v>207.7</v>
      </c>
      <c r="D52" s="7">
        <v>4.5</v>
      </c>
      <c r="E52" s="7">
        <v>125.7</v>
      </c>
      <c r="F52" s="7">
        <v>5.0125313283208017</v>
      </c>
      <c r="G52" s="7">
        <v>99.7</v>
      </c>
      <c r="H52" s="7">
        <v>-0.1</v>
      </c>
      <c r="I52" s="7">
        <v>75.2</v>
      </c>
      <c r="J52" s="7">
        <v>0</v>
      </c>
      <c r="K52" s="7">
        <v>136.69999999999999</v>
      </c>
      <c r="L52" s="7">
        <v>2.7</v>
      </c>
    </row>
    <row r="53" spans="2:12" s="18" customFormat="1" ht="34.9" hidden="1" customHeight="1">
      <c r="B53" s="15">
        <v>36923</v>
      </c>
      <c r="C53" s="11">
        <v>208.6</v>
      </c>
      <c r="D53" s="11">
        <v>0.4</v>
      </c>
      <c r="E53" s="11">
        <v>123.1</v>
      </c>
      <c r="F53" s="11">
        <v>-2.0684168655529134</v>
      </c>
      <c r="G53" s="11">
        <v>99.1</v>
      </c>
      <c r="H53" s="11">
        <v>-0.1</v>
      </c>
      <c r="I53" s="11">
        <v>77</v>
      </c>
      <c r="J53" s="11">
        <v>2.4</v>
      </c>
      <c r="K53" s="11">
        <v>137.9</v>
      </c>
      <c r="L53" s="11">
        <v>0.9</v>
      </c>
    </row>
    <row r="54" spans="2:12" s="18" customFormat="1" ht="34.9" hidden="1" customHeight="1">
      <c r="B54" s="14">
        <v>36951</v>
      </c>
      <c r="C54" s="7">
        <v>209.7</v>
      </c>
      <c r="D54" s="7">
        <v>0.52732502396932723</v>
      </c>
      <c r="E54" s="7">
        <v>125.9</v>
      </c>
      <c r="F54" s="7">
        <v>2.2745735174654946</v>
      </c>
      <c r="G54" s="7">
        <v>100.2</v>
      </c>
      <c r="H54" s="7">
        <v>1.1099899091826515</v>
      </c>
      <c r="I54" s="7">
        <v>76.900000000000006</v>
      </c>
      <c r="J54" s="7">
        <v>-0.12987012987012436</v>
      </c>
      <c r="K54" s="7">
        <v>138.5</v>
      </c>
      <c r="L54" s="7">
        <v>0.435097897026826</v>
      </c>
    </row>
    <row r="55" spans="2:12" s="18" customFormat="1" ht="34.9" hidden="1" customHeight="1">
      <c r="B55" s="15">
        <v>36982</v>
      </c>
      <c r="C55" s="11">
        <v>206.2</v>
      </c>
      <c r="D55" s="11">
        <v>-1.7</v>
      </c>
      <c r="E55" s="11">
        <v>146.4</v>
      </c>
      <c r="F55" s="11">
        <v>16.282764098490876</v>
      </c>
      <c r="G55" s="11">
        <v>100.4</v>
      </c>
      <c r="H55" s="11">
        <v>0.2</v>
      </c>
      <c r="I55" s="11">
        <v>74.2</v>
      </c>
      <c r="J55" s="11">
        <v>-3.5</v>
      </c>
      <c r="K55" s="11">
        <v>136.1</v>
      </c>
      <c r="L55" s="11">
        <v>-1.7</v>
      </c>
    </row>
    <row r="56" spans="2:12" s="18" customFormat="1" ht="34.9" hidden="1" customHeight="1">
      <c r="B56" s="14">
        <v>37012</v>
      </c>
      <c r="C56" s="7">
        <v>222</v>
      </c>
      <c r="D56" s="7">
        <v>7.6624636275460789</v>
      </c>
      <c r="E56" s="7">
        <v>140.9</v>
      </c>
      <c r="F56" s="7">
        <v>-3.7568306010928976</v>
      </c>
      <c r="G56" s="7">
        <v>99.9</v>
      </c>
      <c r="H56" s="7">
        <v>-0.4980079681274896</v>
      </c>
      <c r="I56" s="7">
        <v>72.400000000000006</v>
      </c>
      <c r="J56" s="7">
        <v>-2.425876010781669</v>
      </c>
      <c r="K56" s="7">
        <v>141</v>
      </c>
      <c r="L56" s="7">
        <v>3.6002939015429947</v>
      </c>
    </row>
    <row r="57" spans="2:12" s="18" customFormat="1" ht="34.9" hidden="1" customHeight="1">
      <c r="B57" s="15">
        <v>37043</v>
      </c>
      <c r="C57" s="11">
        <v>219.7</v>
      </c>
      <c r="D57" s="11">
        <v>-1.0360360360360366</v>
      </c>
      <c r="E57" s="11">
        <v>136.9</v>
      </c>
      <c r="F57" s="11">
        <v>-2.838892831795603</v>
      </c>
      <c r="G57" s="11">
        <v>102.4</v>
      </c>
      <c r="H57" s="11">
        <v>2.5025025025025016</v>
      </c>
      <c r="I57" s="11">
        <v>72.900000000000006</v>
      </c>
      <c r="J57" s="11">
        <v>0.6906077348066253</v>
      </c>
      <c r="K57" s="11">
        <v>140.9</v>
      </c>
      <c r="L57" s="11">
        <v>-7.0921985815597388E-2</v>
      </c>
    </row>
    <row r="58" spans="2:12" s="18" customFormat="1" ht="34.9" hidden="1" customHeight="1">
      <c r="B58" s="14">
        <v>37073</v>
      </c>
      <c r="C58" s="7">
        <v>228.6</v>
      </c>
      <c r="D58" s="7">
        <v>4.0509786071916354</v>
      </c>
      <c r="E58" s="7">
        <v>145.5</v>
      </c>
      <c r="F58" s="7">
        <v>6.2819576333089877</v>
      </c>
      <c r="G58" s="7">
        <v>102.4</v>
      </c>
      <c r="H58" s="7">
        <v>0</v>
      </c>
      <c r="I58" s="7">
        <v>73.400000000000006</v>
      </c>
      <c r="J58" s="7">
        <v>0.68587105624142719</v>
      </c>
      <c r="K58" s="7">
        <v>144.69999999999999</v>
      </c>
      <c r="L58" s="7">
        <v>2.6969481902058057</v>
      </c>
    </row>
    <row r="59" spans="2:12" s="18" customFormat="1" ht="34.9" hidden="1" customHeight="1">
      <c r="B59" s="15">
        <v>37104</v>
      </c>
      <c r="C59" s="11">
        <v>236.7</v>
      </c>
      <c r="D59" s="11">
        <v>3.5433070866141669</v>
      </c>
      <c r="E59" s="11">
        <v>144</v>
      </c>
      <c r="F59" s="11">
        <v>-1.0309278350515427</v>
      </c>
      <c r="G59" s="11">
        <v>103.4</v>
      </c>
      <c r="H59" s="11">
        <v>0.9765625</v>
      </c>
      <c r="I59" s="11">
        <v>77.400000000000006</v>
      </c>
      <c r="J59" s="11">
        <v>5.4495912806539426</v>
      </c>
      <c r="K59" s="11">
        <v>149.9</v>
      </c>
      <c r="L59" s="11">
        <v>3.5936420179682127</v>
      </c>
    </row>
    <row r="60" spans="2:12" s="18" customFormat="1" ht="34.9" hidden="1" customHeight="1">
      <c r="B60" s="14">
        <v>37135</v>
      </c>
      <c r="C60" s="7">
        <v>249.9</v>
      </c>
      <c r="D60" s="7">
        <v>9.3175853018372834</v>
      </c>
      <c r="E60" s="7">
        <v>137.30000000000001</v>
      </c>
      <c r="F60" s="7">
        <v>-4.6527777777777724</v>
      </c>
      <c r="G60" s="7">
        <v>103.4</v>
      </c>
      <c r="H60" s="7">
        <v>0.9765625</v>
      </c>
      <c r="I60" s="7">
        <v>77.2</v>
      </c>
      <c r="J60" s="7">
        <v>5.1771117166212521</v>
      </c>
      <c r="K60" s="7">
        <v>154.69999999999999</v>
      </c>
      <c r="L60" s="7">
        <v>6.9108500345542501</v>
      </c>
    </row>
    <row r="61" spans="2:12" s="18" customFormat="1" ht="34.9" hidden="1" customHeight="1">
      <c r="B61" s="15">
        <v>37165</v>
      </c>
      <c r="C61" s="11">
        <v>277</v>
      </c>
      <c r="D61" s="11">
        <v>10.844337735094033</v>
      </c>
      <c r="E61" s="11">
        <v>133.4</v>
      </c>
      <c r="F61" s="11">
        <v>-2.8404952658412252</v>
      </c>
      <c r="G61" s="11">
        <v>105.3</v>
      </c>
      <c r="H61" s="11">
        <v>1.837524177949712</v>
      </c>
      <c r="I61" s="11">
        <v>78.900000000000006</v>
      </c>
      <c r="J61" s="11">
        <v>2.2020725388601115</v>
      </c>
      <c r="K61" s="11">
        <v>166.2</v>
      </c>
      <c r="L61" s="11">
        <v>7.4337427278603707</v>
      </c>
    </row>
    <row r="62" spans="2:12" s="18" customFormat="1" ht="34.9" hidden="1" customHeight="1">
      <c r="B62" s="14">
        <v>37196</v>
      </c>
      <c r="C62" s="7">
        <v>288</v>
      </c>
      <c r="D62" s="7">
        <v>3.971119133573997</v>
      </c>
      <c r="E62" s="7">
        <v>135.1</v>
      </c>
      <c r="F62" s="7">
        <v>1.2743628185907019</v>
      </c>
      <c r="G62" s="7">
        <v>107.7</v>
      </c>
      <c r="H62" s="7">
        <v>2.2792022792022859</v>
      </c>
      <c r="I62" s="7">
        <v>83</v>
      </c>
      <c r="J62" s="7">
        <v>5.1964512040557631</v>
      </c>
      <c r="K62" s="7">
        <v>172.9</v>
      </c>
      <c r="L62" s="7">
        <v>4.031287605294831</v>
      </c>
    </row>
    <row r="63" spans="2:12" s="18" customFormat="1" ht="34.9" hidden="1" customHeight="1">
      <c r="B63" s="15" t="s">
        <v>88</v>
      </c>
      <c r="C63" s="11">
        <v>275.2</v>
      </c>
      <c r="D63" s="11">
        <v>-4.4444444444444509</v>
      </c>
      <c r="E63" s="11">
        <v>133.19999999999999</v>
      </c>
      <c r="F63" s="11">
        <v>-1.4063656550703185</v>
      </c>
      <c r="G63" s="11">
        <v>109.4</v>
      </c>
      <c r="H63" s="11">
        <v>1.5784586815227541</v>
      </c>
      <c r="I63" s="11">
        <v>91.7</v>
      </c>
      <c r="J63" s="11">
        <v>10.481927710843376</v>
      </c>
      <c r="K63" s="11">
        <v>172.7</v>
      </c>
      <c r="L63" s="11">
        <v>-0.11567379988434157</v>
      </c>
    </row>
    <row r="64" spans="2:12" s="18" customFormat="1" ht="34.9" hidden="1" customHeight="1">
      <c r="B64" s="3">
        <v>2002</v>
      </c>
      <c r="C64" s="96"/>
      <c r="D64" s="96"/>
      <c r="E64" s="93"/>
      <c r="F64" s="93"/>
      <c r="G64" s="93"/>
      <c r="H64" s="93"/>
      <c r="I64" s="93"/>
      <c r="J64" s="93"/>
      <c r="K64" s="93"/>
      <c r="L64" s="93"/>
    </row>
    <row r="65" spans="2:12" s="18" customFormat="1" ht="34.9" hidden="1" customHeight="1">
      <c r="B65" s="14">
        <v>37257</v>
      </c>
      <c r="C65" s="7">
        <v>276.2</v>
      </c>
      <c r="D65" s="7">
        <v>0.36337209302326201</v>
      </c>
      <c r="E65" s="7">
        <v>132.80000000000001</v>
      </c>
      <c r="F65" s="7">
        <v>-0.30030030030028243</v>
      </c>
      <c r="G65" s="7">
        <v>113.7</v>
      </c>
      <c r="H65" s="7">
        <v>3.9305301645338186</v>
      </c>
      <c r="I65" s="7">
        <v>96.1</v>
      </c>
      <c r="J65" s="7">
        <v>4.7982551799345519</v>
      </c>
      <c r="K65" s="7">
        <v>176</v>
      </c>
      <c r="L65" s="7">
        <v>1.9108280254777066</v>
      </c>
    </row>
    <row r="66" spans="2:12" s="18" customFormat="1" ht="34.9" hidden="1" customHeight="1">
      <c r="B66" s="15">
        <v>37288</v>
      </c>
      <c r="C66" s="11">
        <v>272.89999999999998</v>
      </c>
      <c r="D66" s="11">
        <v>-1.1947863866763275</v>
      </c>
      <c r="E66" s="11">
        <v>133.5</v>
      </c>
      <c r="F66" s="11">
        <v>0.52710843373493521</v>
      </c>
      <c r="G66" s="11">
        <v>113</v>
      </c>
      <c r="H66" s="11">
        <v>-0.61565523306947867</v>
      </c>
      <c r="I66" s="11">
        <v>94</v>
      </c>
      <c r="J66" s="11">
        <v>-2.1852237252861562</v>
      </c>
      <c r="K66" s="11">
        <v>173.6</v>
      </c>
      <c r="L66" s="11">
        <v>-1.3636363636363669</v>
      </c>
    </row>
    <row r="67" spans="2:12" s="18" customFormat="1" ht="34.9" hidden="1" customHeight="1">
      <c r="B67" s="14">
        <v>37316</v>
      </c>
      <c r="C67" s="7">
        <v>264.8</v>
      </c>
      <c r="D67" s="7">
        <v>-2.9681201905459753</v>
      </c>
      <c r="E67" s="7">
        <v>141.6</v>
      </c>
      <c r="F67" s="7">
        <v>6.0674157303370668</v>
      </c>
      <c r="G67" s="7">
        <v>111.2</v>
      </c>
      <c r="H67" s="7">
        <v>-1.5929203539822967</v>
      </c>
      <c r="I67" s="7">
        <v>97.6</v>
      </c>
      <c r="J67" s="7">
        <v>3.8297872340425476</v>
      </c>
      <c r="K67" s="7">
        <v>172.2</v>
      </c>
      <c r="L67" s="7">
        <v>-0.80645161290322509</v>
      </c>
    </row>
    <row r="68" spans="2:12" s="18" customFormat="1" ht="34.9" hidden="1" customHeight="1">
      <c r="B68" s="15">
        <v>37347</v>
      </c>
      <c r="C68" s="11">
        <v>254.4</v>
      </c>
      <c r="D68" s="11">
        <v>-3.92749244712991</v>
      </c>
      <c r="E68" s="11">
        <v>139.6</v>
      </c>
      <c r="F68" s="11">
        <v>-1.4124293785310771</v>
      </c>
      <c r="G68" s="11">
        <v>107.1</v>
      </c>
      <c r="H68" s="11">
        <v>-3.6870503597122406</v>
      </c>
      <c r="I68" s="11">
        <v>92.7</v>
      </c>
      <c r="J68" s="11">
        <v>-5.0204918032786816</v>
      </c>
      <c r="K68" s="11">
        <v>165</v>
      </c>
      <c r="L68" s="11">
        <v>-4.1811846689895464</v>
      </c>
    </row>
    <row r="69" spans="2:12" s="18" customFormat="1" ht="34.9" hidden="1" customHeight="1">
      <c r="B69" s="14">
        <v>37377</v>
      </c>
      <c r="C69" s="7">
        <v>262.10000000000002</v>
      </c>
      <c r="D69" s="7">
        <v>3.0267295597484312</v>
      </c>
      <c r="E69" s="7">
        <v>140.5</v>
      </c>
      <c r="F69" s="7">
        <v>0.64469914040115039</v>
      </c>
      <c r="G69" s="7">
        <v>112.3</v>
      </c>
      <c r="H69" s="7">
        <v>4.8552754435107426</v>
      </c>
      <c r="I69" s="7">
        <v>102.3</v>
      </c>
      <c r="J69" s="7">
        <v>10.355987055016168</v>
      </c>
      <c r="K69" s="7">
        <v>173.8</v>
      </c>
      <c r="L69" s="7">
        <v>5.3333333333333455</v>
      </c>
    </row>
    <row r="70" spans="2:12" s="18" customFormat="1" ht="34.9" hidden="1" customHeight="1">
      <c r="B70" s="15">
        <v>37408</v>
      </c>
      <c r="C70" s="11">
        <v>274.10000000000002</v>
      </c>
      <c r="D70" s="11">
        <v>4.5784051888592137</v>
      </c>
      <c r="E70" s="11">
        <v>142.19999999999999</v>
      </c>
      <c r="F70" s="11">
        <v>1.2099644128113818</v>
      </c>
      <c r="G70" s="11">
        <v>117.1</v>
      </c>
      <c r="H70" s="11">
        <v>4.2742653606411274</v>
      </c>
      <c r="I70" s="11">
        <v>114.6</v>
      </c>
      <c r="J70" s="11">
        <v>12.023460410557174</v>
      </c>
      <c r="K70" s="11">
        <v>185.4</v>
      </c>
      <c r="L70" s="11">
        <v>6.6743383199079354</v>
      </c>
    </row>
    <row r="71" spans="2:12" s="18" customFormat="1" ht="34.9" hidden="1" customHeight="1">
      <c r="B71" s="14">
        <v>37438</v>
      </c>
      <c r="C71" s="7">
        <v>273.10000000000002</v>
      </c>
      <c r="D71" s="7">
        <v>-0.36483035388544804</v>
      </c>
      <c r="E71" s="7">
        <v>145.19999999999999</v>
      </c>
      <c r="F71" s="7">
        <v>2.1097046413502074</v>
      </c>
      <c r="G71" s="7">
        <v>115.4</v>
      </c>
      <c r="H71" s="7">
        <v>-1.451750640478211</v>
      </c>
      <c r="I71" s="7">
        <v>110.5</v>
      </c>
      <c r="J71" s="7">
        <v>-3.5776614310645716</v>
      </c>
      <c r="K71" s="7">
        <v>182.8</v>
      </c>
      <c r="L71" s="7">
        <v>-1.4023732470334394</v>
      </c>
    </row>
    <row r="72" spans="2:12" s="18" customFormat="1" ht="34.9" hidden="1" customHeight="1">
      <c r="B72" s="15">
        <v>37469</v>
      </c>
      <c r="C72" s="11">
        <v>266.7</v>
      </c>
      <c r="D72" s="11">
        <v>-2.3434639326254225</v>
      </c>
      <c r="E72" s="11">
        <v>146.5</v>
      </c>
      <c r="F72" s="11">
        <v>0.89531680440773087</v>
      </c>
      <c r="G72" s="11">
        <v>112.2</v>
      </c>
      <c r="H72" s="11">
        <v>-2.7729636048526851</v>
      </c>
      <c r="I72" s="11">
        <v>107.8</v>
      </c>
      <c r="J72" s="11">
        <v>-2.4434389140271517</v>
      </c>
      <c r="K72" s="11">
        <v>178.4</v>
      </c>
      <c r="L72" s="11">
        <v>-2.4070021881838155</v>
      </c>
    </row>
    <row r="73" spans="2:12" s="18" customFormat="1" ht="34.9" hidden="1" customHeight="1">
      <c r="B73" s="14">
        <v>37500</v>
      </c>
      <c r="C73" s="7">
        <v>264.5</v>
      </c>
      <c r="D73" s="7">
        <v>-0.82489688788901505</v>
      </c>
      <c r="E73" s="7">
        <v>145.19999999999999</v>
      </c>
      <c r="F73" s="7">
        <v>-0.88737201365188811</v>
      </c>
      <c r="G73" s="7">
        <v>108</v>
      </c>
      <c r="H73" s="7">
        <v>-3.7433155080213942</v>
      </c>
      <c r="I73" s="7">
        <v>102.6</v>
      </c>
      <c r="J73" s="7">
        <v>-4.8237476808905448</v>
      </c>
      <c r="K73" s="7">
        <v>174.1</v>
      </c>
      <c r="L73" s="7">
        <v>-2.4103139013452957</v>
      </c>
    </row>
    <row r="74" spans="2:12" s="18" customFormat="1" ht="34.9" hidden="1" customHeight="1">
      <c r="B74" s="15">
        <v>37530</v>
      </c>
      <c r="C74" s="11">
        <v>256.7</v>
      </c>
      <c r="D74" s="11">
        <v>-2.9489603024574707</v>
      </c>
      <c r="E74" s="11">
        <v>146.69999999999999</v>
      </c>
      <c r="F74" s="11">
        <v>1.0330578512396604</v>
      </c>
      <c r="G74" s="11">
        <v>106.8</v>
      </c>
      <c r="H74" s="11">
        <v>-1.1111111111111183</v>
      </c>
      <c r="I74" s="11">
        <v>98.3</v>
      </c>
      <c r="J74" s="11">
        <v>-4.191033138401556</v>
      </c>
      <c r="K74" s="11">
        <v>168.8</v>
      </c>
      <c r="L74" s="11">
        <v>-3.0442274554853488</v>
      </c>
    </row>
    <row r="75" spans="2:12" s="18" customFormat="1" ht="34.9" hidden="1" customHeight="1">
      <c r="B75" s="14">
        <v>37561</v>
      </c>
      <c r="C75" s="7">
        <v>257.10000000000002</v>
      </c>
      <c r="D75" s="7">
        <v>0.15582391897157599</v>
      </c>
      <c r="E75" s="7">
        <v>147.30000000000001</v>
      </c>
      <c r="F75" s="7">
        <v>0.40899795501023739</v>
      </c>
      <c r="G75" s="7">
        <v>108.8</v>
      </c>
      <c r="H75" s="7">
        <v>1.8726591760299671</v>
      </c>
      <c r="I75" s="7">
        <v>102.2</v>
      </c>
      <c r="J75" s="7">
        <v>3.9674465920651159</v>
      </c>
      <c r="K75" s="7">
        <v>171.3</v>
      </c>
      <c r="L75" s="7">
        <v>1.4810426540284416</v>
      </c>
    </row>
    <row r="76" spans="2:12" s="18" customFormat="1" ht="34.9" hidden="1" customHeight="1">
      <c r="B76" s="15">
        <v>37591</v>
      </c>
      <c r="C76" s="11">
        <v>255.7</v>
      </c>
      <c r="D76" s="11">
        <v>-0.5445352003111803</v>
      </c>
      <c r="E76" s="11">
        <v>149.9</v>
      </c>
      <c r="F76" s="11">
        <v>1.7651052274270107</v>
      </c>
      <c r="G76" s="11">
        <v>106</v>
      </c>
      <c r="H76" s="11">
        <v>-2.5735294117647078</v>
      </c>
      <c r="I76" s="11">
        <v>101.6</v>
      </c>
      <c r="J76" s="11">
        <v>-0.58708414872798986</v>
      </c>
      <c r="K76" s="11">
        <v>170</v>
      </c>
      <c r="L76" s="11">
        <v>-0.75890251021599742</v>
      </c>
    </row>
    <row r="77" spans="2:12" s="18" customFormat="1" ht="34.9" hidden="1" customHeight="1">
      <c r="B77" s="3">
        <v>2003</v>
      </c>
      <c r="C77" s="96"/>
      <c r="D77" s="96"/>
      <c r="E77" s="93"/>
      <c r="F77" s="93"/>
      <c r="G77" s="93"/>
      <c r="H77" s="93"/>
      <c r="I77" s="93"/>
      <c r="J77" s="93"/>
      <c r="K77" s="93"/>
      <c r="L77" s="93"/>
    </row>
    <row r="78" spans="2:12" s="18" customFormat="1" ht="34.9" hidden="1" customHeight="1">
      <c r="B78" s="14">
        <v>37622</v>
      </c>
      <c r="C78" s="7">
        <v>264.3</v>
      </c>
      <c r="D78" s="7">
        <v>2.8004667444573972</v>
      </c>
      <c r="E78" s="7">
        <v>156.1</v>
      </c>
      <c r="F78" s="7">
        <v>4.1360907271514202</v>
      </c>
      <c r="G78" s="7">
        <v>104</v>
      </c>
      <c r="H78" s="7">
        <v>-4.4117647058823479</v>
      </c>
      <c r="I78" s="7">
        <v>102.7</v>
      </c>
      <c r="J78" s="7">
        <v>0.48923679060666192</v>
      </c>
      <c r="K78" s="7">
        <v>172.7</v>
      </c>
      <c r="L78" s="7">
        <v>0.8172796263864468</v>
      </c>
    </row>
    <row r="79" spans="2:12" s="18" customFormat="1" ht="34.9" hidden="1" customHeight="1">
      <c r="B79" s="15">
        <v>37653</v>
      </c>
      <c r="C79" s="11">
        <v>250.9</v>
      </c>
      <c r="D79" s="11">
        <v>-5.0699962164207353</v>
      </c>
      <c r="E79" s="11">
        <v>152.6</v>
      </c>
      <c r="F79" s="11">
        <v>-2.2421524663677084</v>
      </c>
      <c r="G79" s="11">
        <v>98.6</v>
      </c>
      <c r="H79" s="11">
        <v>-5.1923076923076961</v>
      </c>
      <c r="I79" s="11">
        <v>97.7</v>
      </c>
      <c r="J79" s="11">
        <v>-4.8685491723466363</v>
      </c>
      <c r="K79" s="11">
        <v>164</v>
      </c>
      <c r="L79" s="11">
        <v>-5.0376375217139451</v>
      </c>
    </row>
    <row r="80" spans="2:12" s="18" customFormat="1" ht="34.9" hidden="1" customHeight="1">
      <c r="B80" s="14">
        <v>37681</v>
      </c>
      <c r="C80" s="7">
        <v>258.7</v>
      </c>
      <c r="D80" s="7">
        <v>3.1088082901554293</v>
      </c>
      <c r="E80" s="7">
        <v>157.4</v>
      </c>
      <c r="F80" s="7">
        <v>3.1454783748361859</v>
      </c>
      <c r="G80" s="7">
        <v>102.2</v>
      </c>
      <c r="H80" s="7">
        <v>3.6511156186612714</v>
      </c>
      <c r="I80" s="7">
        <v>103.1</v>
      </c>
      <c r="J80" s="7">
        <v>5.527123848515858</v>
      </c>
      <c r="K80" s="7">
        <v>170.4</v>
      </c>
      <c r="L80" s="7">
        <v>3.9024390243902474</v>
      </c>
    </row>
    <row r="81" spans="2:12" s="18" customFormat="1" ht="34.9" hidden="1" customHeight="1">
      <c r="B81" s="15">
        <v>37712</v>
      </c>
      <c r="C81" s="11">
        <v>276</v>
      </c>
      <c r="D81" s="11">
        <v>6.6872825666795643</v>
      </c>
      <c r="E81" s="11">
        <v>170.8</v>
      </c>
      <c r="F81" s="11">
        <v>8.5133418043201949</v>
      </c>
      <c r="G81" s="11">
        <v>106.9</v>
      </c>
      <c r="H81" s="11">
        <v>4.5988258317025466</v>
      </c>
      <c r="I81" s="11">
        <v>114.7</v>
      </c>
      <c r="J81" s="11">
        <v>11.25121241513094</v>
      </c>
      <c r="K81" s="11">
        <v>183.2</v>
      </c>
      <c r="L81" s="11">
        <v>7.5117370892018753</v>
      </c>
    </row>
    <row r="82" spans="2:12" s="18" customFormat="1" ht="34.9" hidden="1" customHeight="1">
      <c r="B82" s="14">
        <v>37742</v>
      </c>
      <c r="C82" s="7">
        <v>282.7</v>
      </c>
      <c r="D82" s="7">
        <v>2.4275362318840532</v>
      </c>
      <c r="E82" s="7">
        <v>174.4</v>
      </c>
      <c r="F82" s="7">
        <v>2.1077283372365363</v>
      </c>
      <c r="G82" s="7">
        <v>107.3</v>
      </c>
      <c r="H82" s="7">
        <v>0.37418147801682178</v>
      </c>
      <c r="I82" s="7">
        <v>125.5</v>
      </c>
      <c r="J82" s="7">
        <v>9.4158674803836107</v>
      </c>
      <c r="K82" s="7">
        <v>190.5</v>
      </c>
      <c r="L82" s="7">
        <v>3.984716157205237</v>
      </c>
    </row>
    <row r="83" spans="2:12" s="18" customFormat="1" ht="34.9" hidden="1" customHeight="1">
      <c r="B83" s="15">
        <v>37773</v>
      </c>
      <c r="C83" s="11">
        <v>301.89999999999998</v>
      </c>
      <c r="D83" s="11">
        <v>6.7916519278387044</v>
      </c>
      <c r="E83" s="11">
        <v>171.3</v>
      </c>
      <c r="F83" s="11">
        <v>-1.7775229357798183</v>
      </c>
      <c r="G83" s="11">
        <v>108.8</v>
      </c>
      <c r="H83" s="11">
        <v>1.3979496738117492</v>
      </c>
      <c r="I83" s="11">
        <v>133.30000000000001</v>
      </c>
      <c r="J83" s="11">
        <v>6.2151394422310879</v>
      </c>
      <c r="K83" s="11">
        <v>200.9</v>
      </c>
      <c r="L83" s="11">
        <v>5.4593175853018483</v>
      </c>
    </row>
    <row r="84" spans="2:12" s="18" customFormat="1" ht="34.9" hidden="1" customHeight="1">
      <c r="B84" s="14">
        <v>37803</v>
      </c>
      <c r="C84" s="7">
        <v>331.3</v>
      </c>
      <c r="D84" s="7">
        <v>9.6999999999999993</v>
      </c>
      <c r="E84" s="7">
        <v>177.7</v>
      </c>
      <c r="F84" s="7">
        <v>3.7361354349094933</v>
      </c>
      <c r="G84" s="7">
        <v>117.7</v>
      </c>
      <c r="H84" s="7">
        <v>8.1999999999999993</v>
      </c>
      <c r="I84" s="7">
        <v>143</v>
      </c>
      <c r="J84" s="7">
        <v>7.3</v>
      </c>
      <c r="K84" s="7">
        <v>218.2</v>
      </c>
      <c r="L84" s="7">
        <v>8.6</v>
      </c>
    </row>
    <row r="85" spans="2:12" s="18" customFormat="1" ht="34.9" hidden="1" customHeight="1">
      <c r="B85" s="15">
        <v>37834</v>
      </c>
      <c r="C85" s="11">
        <v>355.4</v>
      </c>
      <c r="D85" s="11">
        <v>7.2743736794446123</v>
      </c>
      <c r="E85" s="11">
        <v>192.8</v>
      </c>
      <c r="F85" s="11">
        <v>8.4974676420934259</v>
      </c>
      <c r="G85" s="11">
        <v>118.7</v>
      </c>
      <c r="H85" s="11">
        <v>0.84961767204758676</v>
      </c>
      <c r="I85" s="11">
        <v>145.6</v>
      </c>
      <c r="J85" s="11">
        <v>1.8181818181818077</v>
      </c>
      <c r="K85" s="11">
        <v>227.9</v>
      </c>
      <c r="L85" s="11">
        <v>4.445462878093509</v>
      </c>
    </row>
    <row r="86" spans="2:12" s="18" customFormat="1" ht="34.9" hidden="1" customHeight="1">
      <c r="B86" s="14">
        <v>37865</v>
      </c>
      <c r="C86" s="7">
        <v>389.6</v>
      </c>
      <c r="D86" s="7">
        <v>9.6229600450197026</v>
      </c>
      <c r="E86" s="7">
        <v>214</v>
      </c>
      <c r="F86" s="7">
        <v>10.995850622406621</v>
      </c>
      <c r="G86" s="7">
        <v>118</v>
      </c>
      <c r="H86" s="7">
        <v>-0.58972198820556043</v>
      </c>
      <c r="I86" s="7">
        <v>141</v>
      </c>
      <c r="J86" s="7">
        <v>-3.1593406593406592</v>
      </c>
      <c r="K86" s="7">
        <v>237.2</v>
      </c>
      <c r="L86" s="7">
        <v>4.0807371654234315</v>
      </c>
    </row>
    <row r="87" spans="2:12" s="18" customFormat="1" ht="34.9" hidden="1" customHeight="1">
      <c r="B87" s="15">
        <v>37895</v>
      </c>
      <c r="C87" s="11">
        <v>374.8</v>
      </c>
      <c r="D87" s="11">
        <v>-3.7987679671457886</v>
      </c>
      <c r="E87" s="11">
        <v>214</v>
      </c>
      <c r="F87" s="11">
        <v>0</v>
      </c>
      <c r="G87" s="11">
        <v>116.8</v>
      </c>
      <c r="H87" s="11">
        <v>-1.0169491525423791</v>
      </c>
      <c r="I87" s="11">
        <v>138.6</v>
      </c>
      <c r="J87" s="11">
        <v>-1.7021276595744705</v>
      </c>
      <c r="K87" s="11">
        <v>230.8</v>
      </c>
      <c r="L87" s="11">
        <v>-2.6981450252950956</v>
      </c>
    </row>
    <row r="88" spans="2:12" s="18" customFormat="1" ht="34.9" hidden="1" customHeight="1">
      <c r="B88" s="14">
        <v>37926</v>
      </c>
      <c r="C88" s="7">
        <v>436</v>
      </c>
      <c r="D88" s="7">
        <v>16.328708644610444</v>
      </c>
      <c r="E88" s="7">
        <v>211.5</v>
      </c>
      <c r="F88" s="7">
        <v>-1.1682242990654235</v>
      </c>
      <c r="G88" s="7">
        <v>121.3</v>
      </c>
      <c r="H88" s="7">
        <v>3.8527397260273988</v>
      </c>
      <c r="I88" s="7">
        <v>146.9</v>
      </c>
      <c r="J88" s="7">
        <v>5.9884559884559874</v>
      </c>
      <c r="K88" s="7">
        <v>256.3</v>
      </c>
      <c r="L88" s="7">
        <v>11.048526863084929</v>
      </c>
    </row>
    <row r="89" spans="2:12" s="18" customFormat="1" ht="34.9" hidden="1" customHeight="1">
      <c r="B89" s="15">
        <v>37956</v>
      </c>
      <c r="C89" s="11">
        <v>443.4</v>
      </c>
      <c r="D89" s="11">
        <v>1.6972477064220115</v>
      </c>
      <c r="E89" s="11">
        <v>228.8</v>
      </c>
      <c r="F89" s="11">
        <v>8.1796690307328603</v>
      </c>
      <c r="G89" s="11">
        <v>126.7</v>
      </c>
      <c r="H89" s="11">
        <v>4.4517724649629109</v>
      </c>
      <c r="I89" s="11">
        <v>148.19999999999999</v>
      </c>
      <c r="J89" s="11">
        <v>0.88495575221236855</v>
      </c>
      <c r="K89" s="11">
        <v>261.5</v>
      </c>
      <c r="L89" s="11">
        <v>2.028872415138494</v>
      </c>
    </row>
    <row r="90" spans="2:12" s="18" customFormat="1" ht="34.9" hidden="1" customHeight="1">
      <c r="B90" s="3">
        <v>2004</v>
      </c>
      <c r="C90" s="96"/>
      <c r="D90" s="96"/>
      <c r="E90" s="93"/>
      <c r="F90" s="93"/>
      <c r="G90" s="93"/>
      <c r="H90" s="93"/>
      <c r="I90" s="93"/>
      <c r="J90" s="93"/>
      <c r="K90" s="93"/>
      <c r="L90" s="93"/>
    </row>
    <row r="91" spans="2:12" s="18" customFormat="1" ht="34.9" hidden="1" customHeight="1">
      <c r="B91" s="14">
        <v>37987</v>
      </c>
      <c r="C91" s="7">
        <v>4756.8999999999996</v>
      </c>
      <c r="D91" s="7">
        <v>7.3</v>
      </c>
      <c r="E91" s="7">
        <v>2499.4</v>
      </c>
      <c r="F91" s="7">
        <v>992.39510489510485</v>
      </c>
      <c r="G91" s="7">
        <v>1389.4</v>
      </c>
      <c r="H91" s="7">
        <v>9.6999999999999993</v>
      </c>
      <c r="I91" s="7">
        <v>1602</v>
      </c>
      <c r="J91" s="7">
        <v>8.1</v>
      </c>
      <c r="K91" s="7">
        <v>2821.9</v>
      </c>
      <c r="L91" s="7" t="s">
        <v>90</v>
      </c>
    </row>
    <row r="92" spans="2:12" s="18" customFormat="1" ht="34.9" hidden="1" customHeight="1">
      <c r="B92" s="15">
        <v>38018</v>
      </c>
      <c r="C92" s="11">
        <v>4890.1000000000004</v>
      </c>
      <c r="D92" s="11">
        <v>2.8001429502407138</v>
      </c>
      <c r="E92" s="11">
        <v>2583.8000000000002</v>
      </c>
      <c r="F92" s="11">
        <v>3.3768104345042849</v>
      </c>
      <c r="G92" s="11">
        <v>1402.6</v>
      </c>
      <c r="H92" s="11">
        <v>0.95005038145961063</v>
      </c>
      <c r="I92" s="11">
        <v>1543.8</v>
      </c>
      <c r="J92" s="11">
        <v>-3.6329588014981318</v>
      </c>
      <c r="K92" s="11">
        <v>2846.5</v>
      </c>
      <c r="L92" s="11">
        <v>0.87175307416988979</v>
      </c>
    </row>
    <row r="93" spans="2:12" s="18" customFormat="1" ht="34.9" hidden="1" customHeight="1">
      <c r="B93" s="14">
        <v>38047</v>
      </c>
      <c r="C93" s="7">
        <v>4658.8</v>
      </c>
      <c r="D93" s="7">
        <v>-4.7299646224003622</v>
      </c>
      <c r="E93" s="7">
        <v>2430.9</v>
      </c>
      <c r="F93" s="7">
        <v>-5.9176406842634925</v>
      </c>
      <c r="G93" s="7">
        <v>1372.8</v>
      </c>
      <c r="H93" s="7">
        <v>-2.1246256951375941</v>
      </c>
      <c r="I93" s="7">
        <v>1479.1</v>
      </c>
      <c r="J93" s="7">
        <v>-4.1909573778986964</v>
      </c>
      <c r="K93" s="7">
        <v>2727.8</v>
      </c>
      <c r="L93" s="7">
        <v>-4.1700333743193374</v>
      </c>
    </row>
    <row r="94" spans="2:12" s="18" customFormat="1" ht="34.9" hidden="1" customHeight="1">
      <c r="B94" s="15">
        <v>38078</v>
      </c>
      <c r="C94" s="11">
        <v>4543.3999999999996</v>
      </c>
      <c r="D94" s="11">
        <v>-2.4770327122864422</v>
      </c>
      <c r="E94" s="11">
        <v>2486.8000000000002</v>
      </c>
      <c r="F94" s="11">
        <v>2.2995598338064083</v>
      </c>
      <c r="G94" s="11">
        <v>1307.7</v>
      </c>
      <c r="H94" s="11">
        <v>-4.7421328671328649</v>
      </c>
      <c r="I94" s="11">
        <v>1475.8</v>
      </c>
      <c r="J94" s="11">
        <v>-0.2231086471502941</v>
      </c>
      <c r="K94" s="11">
        <v>2666</v>
      </c>
      <c r="L94" s="11">
        <v>-2.2655619913483416</v>
      </c>
    </row>
    <row r="95" spans="2:12" s="18" customFormat="1" ht="34.9" hidden="1" customHeight="1">
      <c r="B95" s="14">
        <v>38108</v>
      </c>
      <c r="C95" s="7">
        <v>4577.5</v>
      </c>
      <c r="D95" s="7">
        <v>0.75053924373817971</v>
      </c>
      <c r="E95" s="7">
        <v>2479.4</v>
      </c>
      <c r="F95" s="7">
        <v>-0.29757117580827552</v>
      </c>
      <c r="G95" s="7">
        <v>1349.9</v>
      </c>
      <c r="H95" s="7">
        <v>3.2270398409421253</v>
      </c>
      <c r="I95" s="7">
        <v>1527.5</v>
      </c>
      <c r="J95" s="7">
        <v>3.5031847133758065</v>
      </c>
      <c r="K95" s="7">
        <v>2714.9</v>
      </c>
      <c r="L95" s="7">
        <v>1.834208552138028</v>
      </c>
    </row>
    <row r="96" spans="2:12" s="18" customFormat="1" ht="34.9" hidden="1" customHeight="1">
      <c r="B96" s="15">
        <v>38139</v>
      </c>
      <c r="C96" s="11">
        <v>4600.3</v>
      </c>
      <c r="D96" s="11">
        <v>0.49808847624248642</v>
      </c>
      <c r="E96" s="11">
        <v>2519.5</v>
      </c>
      <c r="F96" s="11">
        <v>1.6173267726062646</v>
      </c>
      <c r="G96" s="11">
        <v>1358</v>
      </c>
      <c r="H96" s="11">
        <v>0.60004444773686938</v>
      </c>
      <c r="I96" s="11">
        <v>1682.4</v>
      </c>
      <c r="J96" s="11">
        <v>10.140752864157122</v>
      </c>
      <c r="K96" s="11">
        <v>2794.8</v>
      </c>
      <c r="L96" s="11">
        <v>2.9430181590482274</v>
      </c>
    </row>
    <row r="97" spans="2:12" s="18" customFormat="1" ht="34.9" hidden="1" customHeight="1">
      <c r="B97" s="14">
        <v>38169</v>
      </c>
      <c r="C97" s="7">
        <v>4796.6000000000004</v>
      </c>
      <c r="D97" s="7">
        <v>4.2671130143686398</v>
      </c>
      <c r="E97" s="7">
        <v>2833.6</v>
      </c>
      <c r="F97" s="7">
        <v>12.466759277634454</v>
      </c>
      <c r="G97" s="7">
        <v>1418.1</v>
      </c>
      <c r="H97" s="7">
        <v>4.4256259204712656</v>
      </c>
      <c r="I97" s="7">
        <v>1749.1</v>
      </c>
      <c r="J97" s="7">
        <v>3.9645744174988007</v>
      </c>
      <c r="K97" s="7">
        <v>2915.7</v>
      </c>
      <c r="L97" s="7">
        <v>4.3258909403177226</v>
      </c>
    </row>
    <row r="98" spans="2:12" s="18" customFormat="1" ht="34.9" hidden="1" customHeight="1">
      <c r="B98" s="15">
        <v>38200</v>
      </c>
      <c r="C98" s="11">
        <v>4817.3999999999996</v>
      </c>
      <c r="D98" s="11">
        <v>4.7192574397321829</v>
      </c>
      <c r="E98" s="11">
        <v>2984.4</v>
      </c>
      <c r="F98" s="11">
        <v>5.3218520609825015</v>
      </c>
      <c r="G98" s="11">
        <v>1386.3</v>
      </c>
      <c r="H98" s="11">
        <v>2.0839469808541899</v>
      </c>
      <c r="I98" s="11">
        <v>1721.9</v>
      </c>
      <c r="J98" s="11">
        <v>2.347836424155969</v>
      </c>
      <c r="K98" s="11">
        <v>2902</v>
      </c>
      <c r="L98" s="11">
        <v>3.8356948618863518</v>
      </c>
    </row>
    <row r="99" spans="2:12" s="18" customFormat="1" ht="34.9" hidden="1" customHeight="1">
      <c r="B99" s="14">
        <v>38231</v>
      </c>
      <c r="C99" s="7">
        <v>5105.3</v>
      </c>
      <c r="D99" s="7">
        <v>5.9762527504463092</v>
      </c>
      <c r="E99" s="7">
        <v>2804</v>
      </c>
      <c r="F99" s="7">
        <v>-6.0447661171424745</v>
      </c>
      <c r="G99" s="7">
        <v>1505.3</v>
      </c>
      <c r="H99" s="7">
        <v>8.5840005770756669</v>
      </c>
      <c r="I99" s="7">
        <v>1792.5</v>
      </c>
      <c r="J99" s="7">
        <v>4.1001219583018722</v>
      </c>
      <c r="K99" s="7">
        <v>3068</v>
      </c>
      <c r="L99" s="7">
        <v>5.7201929703652565</v>
      </c>
    </row>
    <row r="100" spans="2:12" s="18" customFormat="1" ht="34.9" hidden="1" customHeight="1">
      <c r="B100" s="15">
        <v>38261</v>
      </c>
      <c r="C100" s="11">
        <v>5796.9</v>
      </c>
      <c r="D100" s="11">
        <v>13.546706363974682</v>
      </c>
      <c r="E100" s="11">
        <v>3029.1</v>
      </c>
      <c r="F100" s="11">
        <v>8.0278174037089922</v>
      </c>
      <c r="G100" s="11">
        <v>1637.4</v>
      </c>
      <c r="H100" s="11">
        <v>8.775659337009234</v>
      </c>
      <c r="I100" s="11">
        <v>1990</v>
      </c>
      <c r="J100" s="11">
        <v>11.018131101813111</v>
      </c>
      <c r="K100" s="11">
        <v>3436</v>
      </c>
      <c r="L100" s="11">
        <v>11.994784876140807</v>
      </c>
    </row>
    <row r="101" spans="2:12" s="18" customFormat="1" ht="34.9" hidden="1" customHeight="1">
      <c r="B101" s="14">
        <v>38292</v>
      </c>
      <c r="C101" s="7">
        <v>7116.3</v>
      </c>
      <c r="D101" s="7">
        <v>22.760440925322168</v>
      </c>
      <c r="E101" s="7">
        <v>3325.6</v>
      </c>
      <c r="F101" s="7">
        <v>9.7883859892377245</v>
      </c>
      <c r="G101" s="7">
        <v>1876.6</v>
      </c>
      <c r="H101" s="7">
        <v>14.608525711493826</v>
      </c>
      <c r="I101" s="7">
        <v>2309.4</v>
      </c>
      <c r="J101" s="7">
        <v>16.050251256281413</v>
      </c>
      <c r="K101" s="7">
        <v>4106</v>
      </c>
      <c r="L101" s="7">
        <v>19.49941792782306</v>
      </c>
    </row>
    <row r="102" spans="2:12" s="18" customFormat="1" ht="34.9" hidden="1" customHeight="1">
      <c r="B102" s="15">
        <v>38322</v>
      </c>
      <c r="C102" s="11">
        <v>7230.9</v>
      </c>
      <c r="D102" s="11">
        <v>1.610387420429138</v>
      </c>
      <c r="E102" s="11">
        <v>3726.9</v>
      </c>
      <c r="F102" s="11">
        <v>12.066995429396199</v>
      </c>
      <c r="G102" s="11">
        <v>1874.4</v>
      </c>
      <c r="H102" s="11">
        <v>-0.11723329425555873</v>
      </c>
      <c r="I102" s="11">
        <v>2527</v>
      </c>
      <c r="J102" s="11">
        <v>9.4223607863514367</v>
      </c>
      <c r="K102" s="11">
        <v>4245.6000000000004</v>
      </c>
      <c r="L102" s="11">
        <v>3.3999025815879325</v>
      </c>
    </row>
    <row r="103" spans="2:12" s="18" customFormat="1" ht="34.9" hidden="1" customHeight="1">
      <c r="B103" s="3">
        <v>2005</v>
      </c>
      <c r="C103" s="96"/>
      <c r="D103" s="96"/>
      <c r="E103" s="93"/>
      <c r="F103" s="93"/>
      <c r="G103" s="93"/>
      <c r="H103" s="93"/>
      <c r="I103" s="93"/>
      <c r="J103" s="93"/>
      <c r="K103" s="93"/>
      <c r="L103" s="93"/>
    </row>
    <row r="104" spans="2:12" s="18" customFormat="1" ht="34.9" hidden="1" customHeight="1">
      <c r="B104" s="14">
        <v>38353</v>
      </c>
      <c r="C104" s="7">
        <v>8895.1</v>
      </c>
      <c r="D104" s="7">
        <v>23.015115684078058</v>
      </c>
      <c r="E104" s="7">
        <v>4481.8999999999996</v>
      </c>
      <c r="F104" s="7">
        <v>20.25812337331292</v>
      </c>
      <c r="G104" s="7">
        <v>2063.8000000000002</v>
      </c>
      <c r="H104" s="7">
        <v>10.104566794707637</v>
      </c>
      <c r="I104" s="7">
        <v>2747.4</v>
      </c>
      <c r="J104" s="7">
        <v>8.7218045112781972</v>
      </c>
      <c r="K104" s="7">
        <v>4976.6000000000004</v>
      </c>
      <c r="L104" s="7">
        <v>17.217825513472775</v>
      </c>
    </row>
    <row r="105" spans="2:12" s="18" customFormat="1" ht="34.9" hidden="1" customHeight="1">
      <c r="B105" s="15">
        <v>38384</v>
      </c>
      <c r="C105" s="11">
        <v>8504.7000000000007</v>
      </c>
      <c r="D105" s="11">
        <v>-4.3889332329035025</v>
      </c>
      <c r="E105" s="11">
        <v>5002.2</v>
      </c>
      <c r="F105" s="11">
        <v>11.608915861576573</v>
      </c>
      <c r="G105" s="11">
        <v>2378.9</v>
      </c>
      <c r="H105" s="11">
        <v>15.267952320961321</v>
      </c>
      <c r="I105" s="11">
        <v>2888</v>
      </c>
      <c r="J105" s="11">
        <v>5.1175656984785656</v>
      </c>
      <c r="K105" s="11">
        <v>5025.6000000000004</v>
      </c>
      <c r="L105" s="11">
        <v>0.98460796527750638</v>
      </c>
    </row>
    <row r="106" spans="2:12" s="18" customFormat="1" ht="34.9" hidden="1" customHeight="1">
      <c r="B106" s="14">
        <v>38412</v>
      </c>
      <c r="C106" s="7">
        <v>9580.6</v>
      </c>
      <c r="D106" s="7">
        <v>12.650651992427719</v>
      </c>
      <c r="E106" s="7">
        <v>5823.1</v>
      </c>
      <c r="F106" s="7">
        <v>16.410779257126883</v>
      </c>
      <c r="G106" s="7">
        <v>2531.4</v>
      </c>
      <c r="H106" s="7">
        <v>6.410525873302797</v>
      </c>
      <c r="I106" s="7">
        <v>3032.8</v>
      </c>
      <c r="J106" s="7">
        <v>5.0138504155124775</v>
      </c>
      <c r="K106" s="7">
        <v>5514.4</v>
      </c>
      <c r="L106" s="7">
        <v>9.726201846545667</v>
      </c>
    </row>
    <row r="107" spans="2:12" s="18" customFormat="1" ht="34.9" hidden="1" customHeight="1">
      <c r="B107" s="15">
        <v>38443</v>
      </c>
      <c r="C107" s="11">
        <v>12598.1</v>
      </c>
      <c r="D107" s="11">
        <v>31.495939711500331</v>
      </c>
      <c r="E107" s="11">
        <v>6022</v>
      </c>
      <c r="F107" s="11">
        <v>3.4157064106747237</v>
      </c>
      <c r="G107" s="11">
        <v>3243.8</v>
      </c>
      <c r="H107" s="11">
        <v>28.142529825393069</v>
      </c>
      <c r="I107" s="11">
        <v>3125.7</v>
      </c>
      <c r="J107" s="11">
        <v>3.0631759430229444</v>
      </c>
      <c r="K107" s="11">
        <v>6813.4</v>
      </c>
      <c r="L107" s="11">
        <v>23.556506600899475</v>
      </c>
    </row>
    <row r="108" spans="2:12" s="18" customFormat="1" ht="34.9" hidden="1" customHeight="1">
      <c r="B108" s="14">
        <v>38473</v>
      </c>
      <c r="C108" s="7">
        <v>12062.7</v>
      </c>
      <c r="D108" s="7">
        <v>-4.2498471991808229</v>
      </c>
      <c r="E108" s="7">
        <v>6153.5</v>
      </c>
      <c r="F108" s="7">
        <v>2.183659913649949</v>
      </c>
      <c r="G108" s="7">
        <v>3366.9</v>
      </c>
      <c r="H108" s="7">
        <v>3.7949318700289725</v>
      </c>
      <c r="I108" s="7">
        <v>3076.5</v>
      </c>
      <c r="J108" s="7">
        <v>-1.574047413379398</v>
      </c>
      <c r="K108" s="7">
        <v>6657.4</v>
      </c>
      <c r="L108" s="7">
        <v>-2.2896057768514999</v>
      </c>
    </row>
    <row r="109" spans="2:12" s="18" customFormat="1" ht="34.9" hidden="1" customHeight="1">
      <c r="B109" s="15">
        <v>38504</v>
      </c>
      <c r="C109" s="11">
        <v>13494.4</v>
      </c>
      <c r="D109" s="11">
        <v>11.868818755336697</v>
      </c>
      <c r="E109" s="11">
        <v>7125.5</v>
      </c>
      <c r="F109" s="11">
        <v>15.795888518729173</v>
      </c>
      <c r="G109" s="11">
        <v>3801.5</v>
      </c>
      <c r="H109" s="11">
        <v>12.908016276099676</v>
      </c>
      <c r="I109" s="11">
        <v>3228.5</v>
      </c>
      <c r="J109" s="11">
        <v>4.9406793434097152</v>
      </c>
      <c r="K109" s="11">
        <v>7374.7</v>
      </c>
      <c r="L109" s="11">
        <v>10.774476522366093</v>
      </c>
    </row>
    <row r="110" spans="2:12" s="18" customFormat="1" ht="34.9" hidden="1" customHeight="1">
      <c r="B110" s="14">
        <v>38534</v>
      </c>
      <c r="C110" s="7">
        <v>15941.8</v>
      </c>
      <c r="D110" s="7">
        <v>18.136412141332702</v>
      </c>
      <c r="E110" s="7">
        <v>8038.1</v>
      </c>
      <c r="F110" s="7">
        <v>12.807522279138306</v>
      </c>
      <c r="G110" s="7">
        <v>3526.8</v>
      </c>
      <c r="H110" s="7">
        <v>-7.2260949625147948</v>
      </c>
      <c r="I110" s="7">
        <v>2995.7</v>
      </c>
      <c r="J110" s="7">
        <v>-7.2107789995353944</v>
      </c>
      <c r="K110" s="7">
        <v>8007.9</v>
      </c>
      <c r="L110" s="7">
        <v>8.5861119774363726</v>
      </c>
    </row>
    <row r="111" spans="2:12" s="18" customFormat="1" ht="34.9" hidden="1" customHeight="1">
      <c r="B111" s="15">
        <v>38565</v>
      </c>
      <c r="C111" s="11">
        <v>16052.8</v>
      </c>
      <c r="D111" s="11">
        <v>0.69628272842463534</v>
      </c>
      <c r="E111" s="11">
        <v>7510.7</v>
      </c>
      <c r="F111" s="11">
        <v>-6.561252037172971</v>
      </c>
      <c r="G111" s="11">
        <v>3536.9</v>
      </c>
      <c r="H111" s="11">
        <v>0.28637858682090123</v>
      </c>
      <c r="I111" s="11">
        <v>3267.7</v>
      </c>
      <c r="J111" s="11">
        <v>9.079680875922147</v>
      </c>
      <c r="K111" s="11">
        <v>8159.3</v>
      </c>
      <c r="L111" s="11">
        <v>1.8906329999125893</v>
      </c>
    </row>
    <row r="112" spans="2:12" s="18" customFormat="1" ht="34.9" hidden="1" customHeight="1">
      <c r="B112" s="14">
        <v>38596</v>
      </c>
      <c r="C112" s="7">
        <v>15086.1</v>
      </c>
      <c r="D112" s="7">
        <v>-6.0220023921060406</v>
      </c>
      <c r="E112" s="7">
        <v>7627.4</v>
      </c>
      <c r="F112" s="7">
        <v>1.553783269202591</v>
      </c>
      <c r="G112" s="7">
        <v>3521.7</v>
      </c>
      <c r="H112" s="7">
        <v>-0.42975487008397595</v>
      </c>
      <c r="I112" s="7">
        <v>3289.6</v>
      </c>
      <c r="J112" s="7">
        <v>0.67019616243841895</v>
      </c>
      <c r="K112" s="7">
        <v>7845.1</v>
      </c>
      <c r="L112" s="7">
        <v>-3.8508205360753944</v>
      </c>
    </row>
    <row r="113" spans="2:12" s="18" customFormat="1" ht="34.9" hidden="1" customHeight="1">
      <c r="B113" s="15">
        <v>38626</v>
      </c>
      <c r="C113" s="11">
        <v>16534.5</v>
      </c>
      <c r="D113" s="11">
        <v>9.6008908863125733</v>
      </c>
      <c r="E113" s="11">
        <v>7367.2</v>
      </c>
      <c r="F113" s="11">
        <v>-3.4113852688989699</v>
      </c>
      <c r="G113" s="11">
        <v>3604.9</v>
      </c>
      <c r="H113" s="11">
        <v>2.3624953857512176</v>
      </c>
      <c r="I113" s="11">
        <v>3122.4</v>
      </c>
      <c r="J113" s="11">
        <v>-5.0826848249027172</v>
      </c>
      <c r="K113" s="11">
        <v>8275.2999999999993</v>
      </c>
      <c r="L113" s="11">
        <v>5.4836777096531453</v>
      </c>
    </row>
    <row r="114" spans="2:12" s="18" customFormat="1" ht="34.9" hidden="1" customHeight="1">
      <c r="B114" s="14">
        <v>38657</v>
      </c>
      <c r="C114" s="7">
        <v>18963.099999999999</v>
      </c>
      <c r="D114" s="7">
        <v>14.688076446218501</v>
      </c>
      <c r="E114" s="7">
        <v>7691.1</v>
      </c>
      <c r="F114" s="7">
        <v>4.3965142795091783</v>
      </c>
      <c r="G114" s="7">
        <v>3644.4</v>
      </c>
      <c r="H114" s="7">
        <v>1.0957308108408004</v>
      </c>
      <c r="I114" s="7">
        <v>2997</v>
      </c>
      <c r="J114" s="7">
        <v>-4.0161414296694842</v>
      </c>
      <c r="K114" s="7">
        <v>9036.7999999999993</v>
      </c>
      <c r="L114" s="7">
        <v>9.2020833081580165</v>
      </c>
    </row>
    <row r="115" spans="2:12" s="18" customFormat="1" ht="34.9" hidden="1" customHeight="1">
      <c r="B115" s="15">
        <v>38687</v>
      </c>
      <c r="C115" s="11">
        <v>16892</v>
      </c>
      <c r="D115" s="11">
        <v>-10.921737479631489</v>
      </c>
      <c r="E115" s="11">
        <v>7382.4</v>
      </c>
      <c r="F115" s="11">
        <v>-4.0137301556344429</v>
      </c>
      <c r="G115" s="11">
        <v>3332.5</v>
      </c>
      <c r="H115" s="11">
        <v>-8.5583360772692352</v>
      </c>
      <c r="I115" s="11">
        <v>2903.4</v>
      </c>
      <c r="J115" s="11">
        <v>-3.1231231231231171</v>
      </c>
      <c r="K115" s="11">
        <v>8191.5</v>
      </c>
      <c r="L115" s="11">
        <v>-9.3539748583569278</v>
      </c>
    </row>
    <row r="116" spans="2:12" s="18" customFormat="1" ht="34.9" hidden="1" customHeight="1">
      <c r="B116" s="3">
        <v>2006</v>
      </c>
      <c r="C116" s="96"/>
      <c r="D116" s="96"/>
      <c r="E116" s="93"/>
      <c r="F116" s="93"/>
      <c r="G116" s="93"/>
      <c r="H116" s="93"/>
      <c r="I116" s="93"/>
      <c r="J116" s="93"/>
      <c r="K116" s="93"/>
      <c r="L116" s="93"/>
    </row>
    <row r="117" spans="2:12" s="18" customFormat="1" ht="34.9" hidden="1" customHeight="1">
      <c r="B117" s="14">
        <v>38718</v>
      </c>
      <c r="C117" s="7">
        <v>17714.400000000001</v>
      </c>
      <c r="D117" s="7">
        <v>4.8685768411082186</v>
      </c>
      <c r="E117" s="7">
        <v>7556.9</v>
      </c>
      <c r="F117" s="7">
        <v>2.363729952319038</v>
      </c>
      <c r="G117" s="7">
        <v>3419.1</v>
      </c>
      <c r="H117" s="7">
        <v>2.5986496624156086</v>
      </c>
      <c r="I117" s="7">
        <v>2987</v>
      </c>
      <c r="J117" s="7">
        <v>2.8793827925879922</v>
      </c>
      <c r="K117" s="7">
        <v>8530.5</v>
      </c>
      <c r="L117" s="7" t="s">
        <v>91</v>
      </c>
    </row>
    <row r="118" spans="2:12" s="18" customFormat="1" ht="34.9" hidden="1" customHeight="1">
      <c r="B118" s="15">
        <v>38749</v>
      </c>
      <c r="C118" s="11">
        <v>15374.3</v>
      </c>
      <c r="D118" s="11">
        <v>-13.21015670866641</v>
      </c>
      <c r="E118" s="11">
        <v>6922.5</v>
      </c>
      <c r="F118" s="11">
        <v>-8.394976776191287</v>
      </c>
      <c r="G118" s="11">
        <v>2963.2</v>
      </c>
      <c r="H118" s="11">
        <v>-13.333918282588986</v>
      </c>
      <c r="I118" s="11">
        <v>2910.5</v>
      </c>
      <c r="J118" s="11">
        <v>-2.561098091730829</v>
      </c>
      <c r="K118" s="11">
        <v>7555.5</v>
      </c>
      <c r="L118" s="11">
        <v>-11.429576226481453</v>
      </c>
    </row>
    <row r="119" spans="2:12" s="18" customFormat="1" ht="34.9" hidden="1" customHeight="1">
      <c r="B119" s="14">
        <v>38777</v>
      </c>
      <c r="C119" s="7">
        <v>14339.4</v>
      </c>
      <c r="D119" s="7">
        <v>-6.7313633791457157</v>
      </c>
      <c r="E119" s="7">
        <v>6482.2</v>
      </c>
      <c r="F119" s="7">
        <v>-6.3604189237992053</v>
      </c>
      <c r="G119" s="7">
        <v>2710.9</v>
      </c>
      <c r="H119" s="7">
        <v>-8.5144438444924369</v>
      </c>
      <c r="I119" s="7">
        <v>2821.8</v>
      </c>
      <c r="J119" s="7">
        <v>-3.0475863253736413</v>
      </c>
      <c r="K119" s="7">
        <v>7069.7</v>
      </c>
      <c r="L119" s="7">
        <v>-6.4297531599497031</v>
      </c>
    </row>
    <row r="120" spans="2:12" s="18" customFormat="1" ht="34.9" hidden="1" customHeight="1">
      <c r="B120" s="15">
        <v>38808</v>
      </c>
      <c r="C120" s="11">
        <v>14034.8</v>
      </c>
      <c r="D120" s="11">
        <v>-2.1242171917932429</v>
      </c>
      <c r="E120" s="11">
        <v>6124.5</v>
      </c>
      <c r="F120" s="11">
        <v>-5.5181882694147033</v>
      </c>
      <c r="G120" s="11">
        <v>3036.4</v>
      </c>
      <c r="H120" s="11">
        <v>12.007082518720713</v>
      </c>
      <c r="I120" s="11">
        <v>2714.7</v>
      </c>
      <c r="J120" s="11">
        <v>-3.7954497129491949</v>
      </c>
      <c r="K120" s="11">
        <v>7039.5</v>
      </c>
      <c r="L120" s="11">
        <v>-0.42717512765746424</v>
      </c>
    </row>
    <row r="121" spans="2:12" s="18" customFormat="1" ht="34.9" hidden="1" customHeight="1">
      <c r="B121" s="14">
        <v>38838</v>
      </c>
      <c r="C121" s="7">
        <v>13818.3</v>
      </c>
      <c r="D121" s="7">
        <v>-1.5425941231795304</v>
      </c>
      <c r="E121" s="7">
        <v>5722.4</v>
      </c>
      <c r="F121" s="7">
        <v>-6.5654339129724963</v>
      </c>
      <c r="G121" s="7">
        <v>3037.3</v>
      </c>
      <c r="H121" s="7">
        <v>2.9640363588456786E-2</v>
      </c>
      <c r="I121" s="7">
        <v>2607.1</v>
      </c>
      <c r="J121" s="7">
        <v>-3.9636055549416072</v>
      </c>
      <c r="K121" s="7">
        <v>6918.7</v>
      </c>
      <c r="L121" s="7">
        <v>-1.7160309681085284</v>
      </c>
    </row>
    <row r="122" spans="2:12" s="18" customFormat="1" ht="34.9" hidden="1" customHeight="1">
      <c r="B122" s="15">
        <v>38869</v>
      </c>
      <c r="C122" s="11">
        <v>12132</v>
      </c>
      <c r="D122" s="11">
        <v>-12.203382471070967</v>
      </c>
      <c r="E122" s="11">
        <v>5305.8</v>
      </c>
      <c r="F122" s="11">
        <v>-7.2801621697189844</v>
      </c>
      <c r="G122" s="11">
        <v>2509.9</v>
      </c>
      <c r="H122" s="11">
        <v>-17.364106278602708</v>
      </c>
      <c r="I122" s="11">
        <v>2376.1999999999998</v>
      </c>
      <c r="J122" s="11">
        <v>-8.8565839438456528</v>
      </c>
      <c r="K122" s="11">
        <v>6055</v>
      </c>
      <c r="L122" s="11">
        <v>-12.483559050110571</v>
      </c>
    </row>
    <row r="123" spans="2:12" s="18" customFormat="1" ht="34.9" hidden="1" customHeight="1">
      <c r="B123" s="14">
        <v>38899</v>
      </c>
      <c r="C123" s="7">
        <v>11691.8</v>
      </c>
      <c r="D123" s="7">
        <v>-3.6284207055720441</v>
      </c>
      <c r="E123" s="7">
        <v>5170.8999999999996</v>
      </c>
      <c r="F123" s="7">
        <v>-2.5425006596554778</v>
      </c>
      <c r="G123" s="7">
        <v>2536.6</v>
      </c>
      <c r="H123" s="7">
        <v>1.0637874018885052</v>
      </c>
      <c r="I123" s="7">
        <v>2424.8000000000002</v>
      </c>
      <c r="J123" s="7">
        <v>2.0452823836377476</v>
      </c>
      <c r="K123" s="7">
        <v>5930.3</v>
      </c>
      <c r="L123" s="7">
        <v>-2.0594549958711794</v>
      </c>
    </row>
    <row r="124" spans="2:12" s="18" customFormat="1" ht="34.9" hidden="1" customHeight="1">
      <c r="B124" s="15">
        <v>38930</v>
      </c>
      <c r="C124" s="11">
        <v>12296.5</v>
      </c>
      <c r="D124" s="11">
        <v>5.1720008895123071</v>
      </c>
      <c r="E124" s="11">
        <v>4943.8999999999996</v>
      </c>
      <c r="F124" s="11">
        <v>-4.3899514591270394</v>
      </c>
      <c r="G124" s="11">
        <v>2666.15</v>
      </c>
      <c r="H124" s="11">
        <v>5.1072301505952877</v>
      </c>
      <c r="I124" s="11">
        <v>2581</v>
      </c>
      <c r="J124" s="11">
        <v>6.4417683932695313</v>
      </c>
      <c r="K124" s="11">
        <v>6241.3</v>
      </c>
      <c r="L124" s="11">
        <v>5.2442540849535479</v>
      </c>
    </row>
    <row r="125" spans="2:12" s="18" customFormat="1" ht="34.9" hidden="1" customHeight="1">
      <c r="B125" s="14">
        <v>38961</v>
      </c>
      <c r="C125" s="7">
        <v>11960.2</v>
      </c>
      <c r="D125" s="7">
        <v>-2.734924572032682</v>
      </c>
      <c r="E125" s="7">
        <v>4704</v>
      </c>
      <c r="F125" s="7">
        <v>-4.8524444264649302</v>
      </c>
      <c r="G125" s="7">
        <v>2577.9</v>
      </c>
      <c r="H125" s="7">
        <v>-3.3100163156611573</v>
      </c>
      <c r="I125" s="7">
        <v>2564.8000000000002</v>
      </c>
      <c r="J125" s="7">
        <v>-0.62766369624176477</v>
      </c>
      <c r="K125" s="7">
        <v>6084.3</v>
      </c>
      <c r="L125" s="7">
        <v>-2.5155015781968548</v>
      </c>
    </row>
    <row r="126" spans="2:12" s="18" customFormat="1" ht="34.9" hidden="1" customHeight="1">
      <c r="B126" s="15">
        <v>38991</v>
      </c>
      <c r="C126" s="11">
        <v>12078.5</v>
      </c>
      <c r="D126" s="11">
        <v>0.98911389441647124</v>
      </c>
      <c r="E126" s="11">
        <v>4902.6000000000004</v>
      </c>
      <c r="F126" s="11">
        <v>4.2219387755102034</v>
      </c>
      <c r="G126" s="11">
        <v>2588</v>
      </c>
      <c r="H126" s="11">
        <v>0.39179176849373221</v>
      </c>
      <c r="I126" s="11">
        <v>2502.9</v>
      </c>
      <c r="J126" s="11">
        <v>-2.4134435433562085</v>
      </c>
      <c r="K126" s="11">
        <v>6107.6</v>
      </c>
      <c r="L126" s="11">
        <v>0.38295284584914935</v>
      </c>
    </row>
    <row r="127" spans="2:12" s="18" customFormat="1" ht="34.9" hidden="1" customHeight="1">
      <c r="B127" s="14">
        <v>39022</v>
      </c>
      <c r="C127" s="7">
        <v>10908.5</v>
      </c>
      <c r="D127" s="7">
        <v>-9.6866332739992558</v>
      </c>
      <c r="E127" s="7">
        <v>4433.1000000000004</v>
      </c>
      <c r="F127" s="7">
        <v>-9.5765512177212067</v>
      </c>
      <c r="G127" s="7">
        <v>2387.8000000000002</v>
      </c>
      <c r="H127" s="7">
        <v>-7.7357032457496029</v>
      </c>
      <c r="I127" s="7">
        <v>2451.6999999999998</v>
      </c>
      <c r="J127" s="7">
        <v>-2.0456270725958015</v>
      </c>
      <c r="K127" s="7">
        <v>5607.7</v>
      </c>
      <c r="L127" s="7">
        <v>-8.1848844063134525</v>
      </c>
    </row>
    <row r="128" spans="2:12" s="18" customFormat="1" ht="34.9" hidden="1" customHeight="1">
      <c r="B128" s="15">
        <v>39052</v>
      </c>
      <c r="C128" s="11">
        <v>10704.7</v>
      </c>
      <c r="D128" s="11">
        <v>-1.8682678645093209</v>
      </c>
      <c r="E128" s="11">
        <v>4156.3</v>
      </c>
      <c r="F128" s="11">
        <v>-6.2439376508538036</v>
      </c>
      <c r="G128" s="11">
        <v>2286.6</v>
      </c>
      <c r="H128" s="11">
        <v>-4.2382109054359791</v>
      </c>
      <c r="I128" s="11">
        <v>2507.6</v>
      </c>
      <c r="J128" s="11">
        <v>2.2800505771505497</v>
      </c>
      <c r="K128" s="11">
        <v>5518.1</v>
      </c>
      <c r="L128" s="11">
        <v>-1.5978030208463223</v>
      </c>
    </row>
    <row r="129" spans="2:12" s="18" customFormat="1" ht="34.9" hidden="1" customHeight="1">
      <c r="B129" s="3">
        <v>2007</v>
      </c>
      <c r="C129" s="96"/>
      <c r="D129" s="96"/>
      <c r="E129" s="93"/>
      <c r="F129" s="93"/>
      <c r="G129" s="93"/>
      <c r="H129" s="93"/>
      <c r="I129" s="93"/>
      <c r="J129" s="93"/>
      <c r="K129" s="93"/>
      <c r="L129" s="93"/>
    </row>
    <row r="130" spans="2:12" s="18" customFormat="1" ht="34.9" hidden="1" customHeight="1">
      <c r="B130" s="14">
        <v>39083</v>
      </c>
      <c r="C130" s="7">
        <v>12149.7</v>
      </c>
      <c r="D130" s="7">
        <v>13.498743542556069</v>
      </c>
      <c r="E130" s="7">
        <v>4434.2</v>
      </c>
      <c r="F130" s="7">
        <v>6.6862353535596553</v>
      </c>
      <c r="G130" s="7">
        <v>2455.5</v>
      </c>
      <c r="H130" s="7">
        <v>7.3865127263185615</v>
      </c>
      <c r="I130" s="7">
        <v>2740</v>
      </c>
      <c r="J130" s="7">
        <v>9.2678258095389978</v>
      </c>
      <c r="K130" s="7">
        <v>6145.7</v>
      </c>
      <c r="L130" s="7">
        <v>11.373480002174642</v>
      </c>
    </row>
    <row r="131" spans="2:12" s="18" customFormat="1" ht="34.9" hidden="1" customHeight="1">
      <c r="B131" s="15">
        <v>39114</v>
      </c>
      <c r="C131" s="11">
        <v>12979.5</v>
      </c>
      <c r="D131" s="11">
        <v>6.8297982666238655</v>
      </c>
      <c r="E131" s="11">
        <v>4588.7</v>
      </c>
      <c r="F131" s="11">
        <v>3.4842812683234747</v>
      </c>
      <c r="G131" s="11">
        <v>2622.3</v>
      </c>
      <c r="H131" s="11">
        <v>6.7929138668295641</v>
      </c>
      <c r="I131" s="11">
        <v>2876.3</v>
      </c>
      <c r="J131" s="11">
        <v>4.9744525547445351</v>
      </c>
      <c r="K131" s="11">
        <v>6543.7</v>
      </c>
      <c r="L131" s="11">
        <v>6.4760727012382668</v>
      </c>
    </row>
    <row r="132" spans="2:12" s="18" customFormat="1" ht="34.9" hidden="1" customHeight="1">
      <c r="B132" s="14">
        <v>39142</v>
      </c>
      <c r="C132" s="7">
        <v>11969.1</v>
      </c>
      <c r="D132" s="7">
        <v>-7.784583381486188</v>
      </c>
      <c r="E132" s="7">
        <v>4513.7</v>
      </c>
      <c r="F132" s="7">
        <v>-1.6344498441824507</v>
      </c>
      <c r="G132" s="7">
        <v>2542.9</v>
      </c>
      <c r="H132" s="7">
        <v>-3.0278762918049096</v>
      </c>
      <c r="I132" s="7">
        <v>2781.5</v>
      </c>
      <c r="J132" s="7">
        <v>-3.295900983902933</v>
      </c>
      <c r="K132" s="7">
        <v>6148.7</v>
      </c>
      <c r="L132" s="7">
        <v>-6.036340296774001</v>
      </c>
    </row>
    <row r="133" spans="2:12" s="18" customFormat="1" ht="34.9" hidden="1" customHeight="1">
      <c r="B133" s="15">
        <v>39173</v>
      </c>
      <c r="C133" s="11">
        <v>11629.5</v>
      </c>
      <c r="D133" s="11">
        <v>-2.8373060631125213</v>
      </c>
      <c r="E133" s="11">
        <v>4397.3999999999996</v>
      </c>
      <c r="F133" s="11">
        <v>-2.5766001284976858</v>
      </c>
      <c r="G133" s="11">
        <v>2404.3000000000002</v>
      </c>
      <c r="H133" s="11">
        <v>-5.4504699358999487</v>
      </c>
      <c r="I133" s="11">
        <v>2783.1</v>
      </c>
      <c r="J133" s="11">
        <v>5.752291928815545E-2</v>
      </c>
      <c r="K133" s="11">
        <v>5971</v>
      </c>
      <c r="L133" s="11">
        <v>-2.8900417974531134</v>
      </c>
    </row>
    <row r="134" spans="2:12" s="18" customFormat="1" ht="34.9" hidden="1" customHeight="1">
      <c r="B134" s="14">
        <v>39203</v>
      </c>
      <c r="C134" s="7">
        <v>11129.4</v>
      </c>
      <c r="D134" s="7">
        <v>-4.3002708628917858</v>
      </c>
      <c r="E134" s="7">
        <v>4394.8999999999996</v>
      </c>
      <c r="F134" s="7">
        <v>-5.6851776049482439E-2</v>
      </c>
      <c r="G134" s="7">
        <v>2424.4</v>
      </c>
      <c r="H134" s="7">
        <v>0.83600216279167139</v>
      </c>
      <c r="I134" s="7">
        <v>2803</v>
      </c>
      <c r="J134" s="7">
        <v>0.71503000251518234</v>
      </c>
      <c r="K134" s="7">
        <v>5831.1</v>
      </c>
      <c r="L134" s="7">
        <v>-2.3429911237648593</v>
      </c>
    </row>
    <row r="135" spans="2:12" s="18" customFormat="1" ht="34.9" hidden="1" customHeight="1">
      <c r="B135" s="15">
        <v>39234</v>
      </c>
      <c r="C135" s="11">
        <v>10774</v>
      </c>
      <c r="D135" s="11">
        <v>-3.1933437561773248</v>
      </c>
      <c r="E135" s="11">
        <v>4664.1000000000004</v>
      </c>
      <c r="F135" s="11">
        <v>6.1252815763726209</v>
      </c>
      <c r="G135" s="11">
        <v>2427</v>
      </c>
      <c r="H135" s="11">
        <v>0.10724302920310791</v>
      </c>
      <c r="I135" s="11">
        <v>2902.1</v>
      </c>
      <c r="J135" s="11">
        <v>3.5354976810560101</v>
      </c>
      <c r="K135" s="11">
        <v>5761.7</v>
      </c>
      <c r="L135" s="11">
        <v>-1.1901699507811614</v>
      </c>
    </row>
    <row r="136" spans="2:12" s="18" customFormat="1" ht="34.9" hidden="1" customHeight="1">
      <c r="B136" s="14">
        <v>39264</v>
      </c>
      <c r="C136" s="7">
        <v>10551.2</v>
      </c>
      <c r="D136" s="7">
        <v>-2.0679413402635904</v>
      </c>
      <c r="E136" s="7">
        <v>4505.8999999999996</v>
      </c>
      <c r="F136" s="7">
        <v>-3.3918655260393393</v>
      </c>
      <c r="G136" s="7">
        <v>2417</v>
      </c>
      <c r="H136" s="7">
        <v>-0.41203131437989038</v>
      </c>
      <c r="I136" s="7">
        <v>2902.3</v>
      </c>
      <c r="J136" s="7">
        <v>6.891561283217662E-3</v>
      </c>
      <c r="K136" s="7">
        <v>5684.2</v>
      </c>
      <c r="L136" s="7">
        <v>-1.3450891230018969</v>
      </c>
    </row>
    <row r="137" spans="2:12" s="18" customFormat="1" ht="34.9" hidden="1" customHeight="1">
      <c r="B137" s="15">
        <v>39295</v>
      </c>
      <c r="C137" s="11">
        <v>10439.4</v>
      </c>
      <c r="D137" s="11">
        <v>-1.0595951171430862</v>
      </c>
      <c r="E137" s="11">
        <v>4573.3999999999996</v>
      </c>
      <c r="F137" s="11">
        <v>1.4980359084755479</v>
      </c>
      <c r="G137" s="11">
        <v>2371.4</v>
      </c>
      <c r="H137" s="11">
        <v>-1.8866363260239938</v>
      </c>
      <c r="I137" s="11">
        <v>2855</v>
      </c>
      <c r="J137" s="11">
        <v>-1.6297419288150872</v>
      </c>
      <c r="K137" s="11">
        <v>5609.6</v>
      </c>
      <c r="L137" s="11">
        <v>-1.3124098377959914</v>
      </c>
    </row>
    <row r="138" spans="2:12" s="18" customFormat="1" ht="34.9" hidden="1" customHeight="1">
      <c r="B138" s="14">
        <v>39326</v>
      </c>
      <c r="C138" s="7">
        <v>10535.1</v>
      </c>
      <c r="D138" s="7">
        <v>0.91671935168688989</v>
      </c>
      <c r="E138" s="7">
        <v>4702.3</v>
      </c>
      <c r="F138" s="7">
        <v>2.8184720339353708</v>
      </c>
      <c r="G138" s="7">
        <v>2445.6</v>
      </c>
      <c r="H138" s="7">
        <v>3.1289533608838571</v>
      </c>
      <c r="I138" s="7">
        <v>2985.9</v>
      </c>
      <c r="J138" s="7">
        <v>4.5849387040280298</v>
      </c>
      <c r="K138" s="7">
        <v>5726.6</v>
      </c>
      <c r="L138" s="7">
        <v>2.085710211066738</v>
      </c>
    </row>
    <row r="139" spans="2:12" s="18" customFormat="1" ht="34.9" hidden="1" customHeight="1">
      <c r="B139" s="15">
        <v>39356</v>
      </c>
      <c r="C139" s="11">
        <v>12631.5</v>
      </c>
      <c r="D139" s="11">
        <v>19.89919412250476</v>
      </c>
      <c r="E139" s="11">
        <v>4593.3</v>
      </c>
      <c r="F139" s="11">
        <v>-2.318014588605577</v>
      </c>
      <c r="G139" s="11">
        <v>2642.6</v>
      </c>
      <c r="H139" s="11">
        <v>8.0552829571475257</v>
      </c>
      <c r="I139" s="11">
        <v>3533.6</v>
      </c>
      <c r="J139" s="11">
        <v>18.342878194179303</v>
      </c>
      <c r="K139" s="11">
        <v>6688.2</v>
      </c>
      <c r="L139" s="11">
        <v>16.791813641602339</v>
      </c>
    </row>
    <row r="140" spans="2:12" s="18" customFormat="1" ht="34.9" hidden="1" customHeight="1">
      <c r="B140" s="14">
        <v>39387</v>
      </c>
      <c r="C140" s="7">
        <v>13556.7</v>
      </c>
      <c r="D140" s="7">
        <v>7.324545778411129</v>
      </c>
      <c r="E140" s="7">
        <v>4650.1000000000004</v>
      </c>
      <c r="F140" s="7">
        <v>1.2365837197657603</v>
      </c>
      <c r="G140" s="7">
        <v>2647.1</v>
      </c>
      <c r="H140" s="7">
        <v>0.17028683871944672</v>
      </c>
      <c r="I140" s="7">
        <v>3536.2</v>
      </c>
      <c r="J140" s="7">
        <v>7.3579352501695894E-2</v>
      </c>
      <c r="K140" s="7">
        <v>6984.1</v>
      </c>
      <c r="L140" s="7">
        <v>4.4242098023384635</v>
      </c>
    </row>
    <row r="141" spans="2:12" s="18" customFormat="1" ht="34.9" hidden="1" customHeight="1">
      <c r="B141" s="15">
        <v>39417</v>
      </c>
      <c r="C141" s="11">
        <v>13886.7</v>
      </c>
      <c r="D141" s="11">
        <v>2.4342207174312236</v>
      </c>
      <c r="E141" s="11">
        <v>4900.3999999999996</v>
      </c>
      <c r="F141" s="11">
        <v>5.3826799423668081</v>
      </c>
      <c r="G141" s="11">
        <v>2740.3</v>
      </c>
      <c r="H141" s="11">
        <v>3.5208341203581295</v>
      </c>
      <c r="I141" s="11">
        <v>4565.5</v>
      </c>
      <c r="J141" s="11">
        <v>29.107516543181955</v>
      </c>
      <c r="K141" s="11">
        <v>7519.3</v>
      </c>
      <c r="L141" s="11">
        <v>7.6631205166019845</v>
      </c>
    </row>
    <row r="142" spans="2:12" s="18" customFormat="1" ht="34.9" hidden="1" customHeight="1">
      <c r="B142" s="3">
        <v>2008</v>
      </c>
      <c r="C142" s="96"/>
      <c r="D142" s="96"/>
      <c r="E142" s="93"/>
      <c r="F142" s="93"/>
      <c r="G142" s="93"/>
      <c r="H142" s="93"/>
      <c r="I142" s="93"/>
      <c r="J142" s="93"/>
      <c r="K142" s="93"/>
      <c r="L142" s="93"/>
    </row>
    <row r="143" spans="2:12" s="18" customFormat="1" ht="34.9" hidden="1" customHeight="1">
      <c r="B143" s="14">
        <v>39448</v>
      </c>
      <c r="C143" s="7">
        <v>14396.1</v>
      </c>
      <c r="D143" s="7">
        <v>3.6682581174793061</v>
      </c>
      <c r="E143" s="7">
        <v>4914.3</v>
      </c>
      <c r="F143" s="7">
        <v>0.28365031426007548</v>
      </c>
      <c r="G143" s="7">
        <v>2824.5</v>
      </c>
      <c r="H143" s="7">
        <v>3.0726562785096556</v>
      </c>
      <c r="I143" s="7">
        <v>4839.2</v>
      </c>
      <c r="J143" s="7">
        <v>5.9949622166246774</v>
      </c>
      <c r="K143" s="7">
        <v>7824.3</v>
      </c>
      <c r="L143" s="7">
        <v>4.0562286383041046</v>
      </c>
    </row>
    <row r="144" spans="2:12" s="18" customFormat="1" ht="34.9" hidden="1" customHeight="1">
      <c r="B144" s="15">
        <v>39479</v>
      </c>
      <c r="C144" s="11">
        <v>14666.5</v>
      </c>
      <c r="D144" s="11">
        <v>1.8782864803662092</v>
      </c>
      <c r="E144" s="11">
        <v>4753.7</v>
      </c>
      <c r="F144" s="11">
        <v>-3.2680137557739686</v>
      </c>
      <c r="G144" s="11">
        <v>2887.8</v>
      </c>
      <c r="H144" s="11">
        <v>2.2411046202867935</v>
      </c>
      <c r="I144" s="11">
        <v>6275.2</v>
      </c>
      <c r="J144" s="11">
        <v>29.67432633493139</v>
      </c>
      <c r="K144" s="11">
        <v>8463</v>
      </c>
      <c r="L144" s="11">
        <v>8.1630305586442233</v>
      </c>
    </row>
    <row r="145" spans="2:12" s="18" customFormat="1" ht="34.9" hidden="1" customHeight="1">
      <c r="B145" s="14">
        <v>39508</v>
      </c>
      <c r="C145" s="7">
        <v>13082.4</v>
      </c>
      <c r="D145" s="7">
        <v>-10.80080455459721</v>
      </c>
      <c r="E145" s="7">
        <v>4488.8</v>
      </c>
      <c r="F145" s="7">
        <v>-5.5725014199465628</v>
      </c>
      <c r="G145" s="7">
        <v>2805.2</v>
      </c>
      <c r="H145" s="7">
        <v>-2.8603088856569148</v>
      </c>
      <c r="I145" s="7">
        <v>6695.2</v>
      </c>
      <c r="J145" s="7">
        <v>6.6930137684854563</v>
      </c>
      <c r="K145" s="7">
        <v>8067.9</v>
      </c>
      <c r="L145" s="7">
        <v>-4.6685572492024097</v>
      </c>
    </row>
    <row r="146" spans="2:12" s="18" customFormat="1" ht="34.9" hidden="1" customHeight="1">
      <c r="B146" s="15">
        <v>39539</v>
      </c>
      <c r="C146" s="11">
        <v>13317.6</v>
      </c>
      <c r="D146" s="11">
        <v>1.7978352595854119</v>
      </c>
      <c r="E146" s="11">
        <v>4441.1000000000004</v>
      </c>
      <c r="F146" s="11">
        <v>-1.0626448048476123</v>
      </c>
      <c r="G146" s="11">
        <v>2878.3</v>
      </c>
      <c r="H146" s="11">
        <v>2.6058748039355706</v>
      </c>
      <c r="I146" s="11">
        <v>8197.7000000000007</v>
      </c>
      <c r="J146" s="11">
        <v>22.441450591468538</v>
      </c>
      <c r="K146" s="11">
        <v>8711.6</v>
      </c>
      <c r="L146" s="11">
        <v>7.9785322078855803</v>
      </c>
    </row>
    <row r="147" spans="2:12" s="18" customFormat="1" ht="34.9" hidden="1" customHeight="1">
      <c r="B147" s="14">
        <v>39569</v>
      </c>
      <c r="C147" s="7">
        <v>14200.4</v>
      </c>
      <c r="D147" s="7">
        <v>6.6288220099717687</v>
      </c>
      <c r="E147" s="7">
        <v>4603.1000000000004</v>
      </c>
      <c r="F147" s="7">
        <v>3.6477449280583718</v>
      </c>
      <c r="G147" s="7">
        <v>3009.6</v>
      </c>
      <c r="H147" s="7">
        <v>4.5617204599937455</v>
      </c>
      <c r="I147" s="7">
        <v>8872.9</v>
      </c>
      <c r="J147" s="7">
        <v>8.2364565670858703</v>
      </c>
      <c r="K147" s="7">
        <v>9300.7999999999993</v>
      </c>
      <c r="L147" s="7">
        <v>6.7633959318609493</v>
      </c>
    </row>
    <row r="148" spans="2:12" s="18" customFormat="1" ht="34.9" hidden="1" customHeight="1">
      <c r="B148" s="15">
        <v>39600</v>
      </c>
      <c r="C148" s="11">
        <v>15451.3</v>
      </c>
      <c r="D148" s="11">
        <v>8.8089067913579946</v>
      </c>
      <c r="E148" s="11">
        <v>5297.7</v>
      </c>
      <c r="F148" s="11">
        <v>15.089830766222745</v>
      </c>
      <c r="G148" s="11">
        <v>3059.8</v>
      </c>
      <c r="H148" s="11">
        <v>1.6679957469431184</v>
      </c>
      <c r="I148" s="11">
        <v>11032.5</v>
      </c>
      <c r="J148" s="11">
        <v>24.339280280404374</v>
      </c>
      <c r="K148" s="11">
        <v>10490.8</v>
      </c>
      <c r="L148" s="11">
        <v>12.794598314123506</v>
      </c>
    </row>
    <row r="149" spans="2:12" s="18" customFormat="1" ht="34.9" hidden="1" customHeight="1">
      <c r="B149" s="14">
        <v>39630</v>
      </c>
      <c r="C149" s="7">
        <v>16132</v>
      </c>
      <c r="D149" s="7">
        <v>4.4054545572217219</v>
      </c>
      <c r="E149" s="7">
        <v>4857</v>
      </c>
      <c r="F149" s="7">
        <v>-8.3187043433943018</v>
      </c>
      <c r="G149" s="7">
        <v>2960.1</v>
      </c>
      <c r="H149" s="7">
        <v>-3.2583829008432041</v>
      </c>
      <c r="I149" s="7">
        <v>10341.4</v>
      </c>
      <c r="J149" s="7">
        <v>-6.2642193519148019</v>
      </c>
      <c r="K149" s="7">
        <v>10398.9</v>
      </c>
      <c r="L149" s="7">
        <v>-0.87600564303961237</v>
      </c>
    </row>
    <row r="150" spans="2:12" s="18" customFormat="1" ht="34.9" hidden="1" customHeight="1">
      <c r="B150" s="15">
        <v>39661</v>
      </c>
      <c r="C150" s="11">
        <v>15547.7</v>
      </c>
      <c r="D150" s="11">
        <v>-3.6219935531862091</v>
      </c>
      <c r="E150" s="11">
        <v>4852</v>
      </c>
      <c r="F150" s="11">
        <v>-0.10294420424130646</v>
      </c>
      <c r="G150" s="11">
        <v>2902.7</v>
      </c>
      <c r="H150" s="11">
        <v>-1.9391236782541177</v>
      </c>
      <c r="I150" s="11">
        <v>8558.74</v>
      </c>
      <c r="J150" s="11">
        <v>-17.238091554335</v>
      </c>
      <c r="K150" s="11">
        <v>9553.2999999999993</v>
      </c>
      <c r="L150" s="11">
        <v>-8.131629306945932</v>
      </c>
    </row>
    <row r="151" spans="2:12" s="18" customFormat="1" ht="34.9" hidden="1" customHeight="1">
      <c r="B151" s="14">
        <v>39692</v>
      </c>
      <c r="C151" s="7">
        <v>14408.6</v>
      </c>
      <c r="D151" s="7">
        <v>-7.3264855895084136</v>
      </c>
      <c r="E151" s="7">
        <v>4847</v>
      </c>
      <c r="F151" s="7">
        <v>-0.10305028854080689</v>
      </c>
      <c r="G151" s="7">
        <v>2685.7</v>
      </c>
      <c r="H151" s="7">
        <v>-7.4757983945981321</v>
      </c>
      <c r="I151" s="7">
        <v>7915.7</v>
      </c>
      <c r="J151" s="7">
        <v>-7.5132554558264397</v>
      </c>
      <c r="K151" s="7">
        <v>8846.2000000000007</v>
      </c>
      <c r="L151" s="7">
        <v>-7.4016308500727384</v>
      </c>
    </row>
    <row r="152" spans="2:12" s="18" customFormat="1" ht="34.9" hidden="1" customHeight="1">
      <c r="B152" s="15">
        <v>39722</v>
      </c>
      <c r="C152" s="11">
        <v>12814.4</v>
      </c>
      <c r="D152" s="11">
        <v>-11.1</v>
      </c>
      <c r="E152" s="11">
        <v>4290.22</v>
      </c>
      <c r="F152" s="11">
        <v>-11.487105426036715</v>
      </c>
      <c r="G152" s="11">
        <v>2199.16</v>
      </c>
      <c r="H152" s="11">
        <v>-18.12</v>
      </c>
      <c r="I152" s="11">
        <v>4762.4799999999996</v>
      </c>
      <c r="J152" s="11">
        <v>-39.840000000000003</v>
      </c>
      <c r="K152" s="11">
        <v>6955.63</v>
      </c>
      <c r="L152" s="11">
        <v>-21.371549365829402</v>
      </c>
    </row>
    <row r="153" spans="2:12" s="18" customFormat="1" ht="34.9" hidden="1" customHeight="1">
      <c r="B153" s="14">
        <v>39753</v>
      </c>
      <c r="C153" s="7">
        <v>10941.31</v>
      </c>
      <c r="D153" s="7">
        <v>-14.617071419652895</v>
      </c>
      <c r="E153" s="7">
        <v>3911.75</v>
      </c>
      <c r="F153" s="7">
        <v>-8.8216921276764388</v>
      </c>
      <c r="G153" s="7">
        <v>1949.45</v>
      </c>
      <c r="H153" s="7">
        <v>-11.354790010731364</v>
      </c>
      <c r="I153" s="7">
        <v>4300.74</v>
      </c>
      <c r="J153" s="7">
        <v>-9.6953687994490227</v>
      </c>
      <c r="K153" s="7">
        <v>6065.67</v>
      </c>
      <c r="L153" s="7">
        <v>-12.794815135365168</v>
      </c>
    </row>
    <row r="154" spans="2:12" s="18" customFormat="1" ht="34.9" hidden="1" customHeight="1">
      <c r="B154" s="15">
        <v>39783</v>
      </c>
      <c r="C154" s="11">
        <v>11380.1</v>
      </c>
      <c r="D154" s="11">
        <v>4.0103972924631597</v>
      </c>
      <c r="E154" s="11">
        <v>3821.3</v>
      </c>
      <c r="F154" s="11">
        <v>-2.3122643318207903</v>
      </c>
      <c r="G154" s="11">
        <v>1865.6</v>
      </c>
      <c r="H154" s="11">
        <v>-4.3012131626869188</v>
      </c>
      <c r="I154" s="11">
        <v>4560.1000000000004</v>
      </c>
      <c r="J154" s="11">
        <v>6.030590084497101</v>
      </c>
      <c r="K154" s="11">
        <v>6243.1</v>
      </c>
      <c r="L154" s="11">
        <v>2.92515089017372</v>
      </c>
    </row>
    <row r="155" spans="2:12" s="18" customFormat="1" ht="34.9" hidden="1" customHeight="1">
      <c r="B155" s="3">
        <v>2009</v>
      </c>
      <c r="C155" s="96"/>
      <c r="D155" s="96"/>
      <c r="E155" s="93"/>
      <c r="F155" s="93"/>
      <c r="G155" s="93"/>
      <c r="H155" s="93"/>
      <c r="I155" s="93"/>
      <c r="J155" s="93"/>
      <c r="K155" s="93"/>
      <c r="L155" s="93"/>
    </row>
    <row r="156" spans="2:12" s="18" customFormat="1" ht="34.9" hidden="1" customHeight="1">
      <c r="B156" s="14">
        <v>39814</v>
      </c>
      <c r="C156" s="7">
        <v>10517.2</v>
      </c>
      <c r="D156" s="7">
        <v>-7.5825344241263224</v>
      </c>
      <c r="E156" s="7">
        <v>3894.5</v>
      </c>
      <c r="F156" s="7">
        <v>1.9155784680606081</v>
      </c>
      <c r="G156" s="7">
        <v>1817.4</v>
      </c>
      <c r="H156" s="7">
        <v>-2.5836192109776919</v>
      </c>
      <c r="I156" s="7">
        <v>4624.3999999999996</v>
      </c>
      <c r="J156" s="7">
        <v>1.4100567970000497</v>
      </c>
      <c r="K156" s="7">
        <v>5971</v>
      </c>
      <c r="L156" s="7">
        <v>-4.3584116865019036</v>
      </c>
    </row>
    <row r="157" spans="2:12" s="18" customFormat="1" ht="34.9" hidden="1" customHeight="1">
      <c r="B157" s="15">
        <v>39845</v>
      </c>
      <c r="C157" s="11">
        <v>9654.7000000000007</v>
      </c>
      <c r="D157" s="11">
        <v>-8.2008519377781202</v>
      </c>
      <c r="E157" s="11">
        <v>4355.2</v>
      </c>
      <c r="F157" s="11">
        <v>11.82950314546154</v>
      </c>
      <c r="G157" s="11">
        <v>1825.8</v>
      </c>
      <c r="H157" s="11">
        <v>0.46219874546054029</v>
      </c>
      <c r="I157" s="11">
        <v>4360.5</v>
      </c>
      <c r="J157" s="11">
        <v>-5.7066862728137657</v>
      </c>
      <c r="K157" s="11">
        <v>5619.7</v>
      </c>
      <c r="L157" s="11">
        <v>-5.8834366102830327</v>
      </c>
    </row>
    <row r="158" spans="2:12" s="18" customFormat="1" ht="34.9" hidden="1" customHeight="1">
      <c r="B158" s="14">
        <v>39873</v>
      </c>
      <c r="C158" s="7">
        <v>9129.48</v>
      </c>
      <c r="D158" s="7">
        <v>-5.4400447450464684</v>
      </c>
      <c r="E158" s="7">
        <v>4500.08</v>
      </c>
      <c r="F158" s="7">
        <v>3.3265980896399761</v>
      </c>
      <c r="G158" s="7">
        <v>1937.74</v>
      </c>
      <c r="H158" s="7">
        <v>6.1310110636433324</v>
      </c>
      <c r="I158" s="7">
        <v>4648.01</v>
      </c>
      <c r="J158" s="7">
        <v>6.5935099185873147</v>
      </c>
      <c r="K158" s="7">
        <v>5625.18</v>
      </c>
      <c r="L158" s="7">
        <v>9.7514102176288198E-2</v>
      </c>
    </row>
    <row r="159" spans="2:12" s="18" customFormat="1" ht="34.9" hidden="1" customHeight="1">
      <c r="B159" s="15">
        <v>39904</v>
      </c>
      <c r="C159" s="11">
        <v>9684.49</v>
      </c>
      <c r="D159" s="11">
        <v>6.0793166752104222</v>
      </c>
      <c r="E159" s="11">
        <v>4547.8999999999996</v>
      </c>
      <c r="F159" s="11">
        <v>1.0626477751506602</v>
      </c>
      <c r="G159" s="11">
        <v>1956</v>
      </c>
      <c r="H159" s="11">
        <v>0.94233488496908713</v>
      </c>
      <c r="I159" s="11">
        <v>4198.1000000000004</v>
      </c>
      <c r="J159" s="11">
        <v>-9.6796263347109779</v>
      </c>
      <c r="K159" s="11">
        <v>5650</v>
      </c>
      <c r="L159" s="11">
        <v>0.44123032507403792</v>
      </c>
    </row>
    <row r="160" spans="2:12" s="18" customFormat="1" ht="34.9" hidden="1" customHeight="1">
      <c r="B160" s="14">
        <v>39934</v>
      </c>
      <c r="C160" s="7">
        <v>10920.4</v>
      </c>
      <c r="D160" s="7">
        <v>12.761745843095508</v>
      </c>
      <c r="E160" s="7">
        <v>4741.5</v>
      </c>
      <c r="F160" s="7">
        <v>4.2569097825370106</v>
      </c>
      <c r="G160" s="7">
        <v>1882.5</v>
      </c>
      <c r="H160" s="7">
        <v>-3.7576687116564367</v>
      </c>
      <c r="I160" s="7">
        <v>5343</v>
      </c>
      <c r="J160" s="7">
        <v>27.271861080012382</v>
      </c>
      <c r="K160" s="7">
        <v>6382.4</v>
      </c>
      <c r="L160" s="7">
        <v>12.962831858407075</v>
      </c>
    </row>
    <row r="161" spans="2:12" s="18" customFormat="1" ht="34.9" hidden="1" customHeight="1">
      <c r="B161" s="15">
        <v>39965</v>
      </c>
      <c r="C161" s="11">
        <v>10202</v>
      </c>
      <c r="D161" s="11">
        <v>-6.5785136075601542</v>
      </c>
      <c r="E161" s="11">
        <v>4507</v>
      </c>
      <c r="F161" s="11">
        <v>-4.945692291468939</v>
      </c>
      <c r="G161" s="11">
        <v>1799</v>
      </c>
      <c r="H161" s="11">
        <v>-4.4355909694555162</v>
      </c>
      <c r="I161" s="11">
        <v>4836.8</v>
      </c>
      <c r="J161" s="11">
        <v>-9.4740782332023201</v>
      </c>
      <c r="K161" s="11">
        <v>5935</v>
      </c>
      <c r="L161" s="11">
        <v>-7.0099022311356229</v>
      </c>
    </row>
    <row r="162" spans="2:12" s="18" customFormat="1" ht="34.9" hidden="1" customHeight="1">
      <c r="B162" s="14">
        <v>39995</v>
      </c>
      <c r="C162" s="7">
        <v>9646.2000000000007</v>
      </c>
      <c r="D162" s="7">
        <v>-5.4479513820819392</v>
      </c>
      <c r="E162" s="7">
        <v>4202.3999999999996</v>
      </c>
      <c r="F162" s="7">
        <v>-6.7583758597736914</v>
      </c>
      <c r="G162" s="7">
        <v>1725.8</v>
      </c>
      <c r="H162" s="7">
        <v>-4.0689271817676564</v>
      </c>
      <c r="I162" s="7">
        <v>4859.2</v>
      </c>
      <c r="J162" s="7">
        <v>0.46311610982467943</v>
      </c>
      <c r="K162" s="7">
        <v>5723.8</v>
      </c>
      <c r="L162" s="7">
        <v>-3.5585509688289774</v>
      </c>
    </row>
    <row r="163" spans="2:12" s="18" customFormat="1" ht="34.9" hidden="1" customHeight="1">
      <c r="B163" s="15">
        <v>40026</v>
      </c>
      <c r="C163" s="11">
        <v>9905.5</v>
      </c>
      <c r="D163" s="11">
        <v>2.6881051605813555</v>
      </c>
      <c r="E163" s="11">
        <v>3892.9</v>
      </c>
      <c r="F163" s="11">
        <v>-7.3648391395393027</v>
      </c>
      <c r="G163" s="11">
        <v>1666.7</v>
      </c>
      <c r="H163" s="11">
        <v>-3.4244987831730134</v>
      </c>
      <c r="I163" s="11">
        <v>4820.3999999999996</v>
      </c>
      <c r="J163" s="11">
        <v>-0.79848534738229393</v>
      </c>
      <c r="K163" s="11">
        <v>5749.6</v>
      </c>
      <c r="L163" s="11">
        <v>0.45074950207903974</v>
      </c>
    </row>
    <row r="164" spans="2:12" s="18" customFormat="1" ht="34.9" hidden="1" customHeight="1">
      <c r="B164" s="14">
        <v>40057</v>
      </c>
      <c r="C164" s="7">
        <v>10220.1</v>
      </c>
      <c r="D164" s="7">
        <v>3.1760133259300494</v>
      </c>
      <c r="E164" s="7">
        <v>4459.3999999999996</v>
      </c>
      <c r="F164" s="7">
        <v>14.552133371008757</v>
      </c>
      <c r="G164" s="7">
        <v>1848.5</v>
      </c>
      <c r="H164" s="7">
        <v>10.907781844363118</v>
      </c>
      <c r="I164" s="7">
        <v>4484.8999999999996</v>
      </c>
      <c r="J164" s="7">
        <v>-6.9600033192266153</v>
      </c>
      <c r="K164" s="7">
        <v>5850.1</v>
      </c>
      <c r="L164" s="7">
        <v>1.747947683317097</v>
      </c>
    </row>
    <row r="165" spans="2:12" s="18" customFormat="1" ht="34.9" hidden="1" customHeight="1">
      <c r="B165" s="15">
        <v>40087</v>
      </c>
      <c r="C165" s="11">
        <v>10051.5</v>
      </c>
      <c r="D165" s="11">
        <v>-1.6496903161417276</v>
      </c>
      <c r="E165" s="11">
        <v>4196.8</v>
      </c>
      <c r="F165" s="11">
        <v>-5.8886845764004043</v>
      </c>
      <c r="G165" s="11">
        <v>1790.4</v>
      </c>
      <c r="H165" s="11">
        <v>-3.1430889910738391</v>
      </c>
      <c r="I165" s="11">
        <v>4161</v>
      </c>
      <c r="J165" s="11">
        <v>-7.2220116390554923</v>
      </c>
      <c r="K165" s="11">
        <v>5649.7</v>
      </c>
      <c r="L165" s="11">
        <v>-3.4255824686757586</v>
      </c>
    </row>
    <row r="166" spans="2:12" s="18" customFormat="1" ht="34.9" hidden="1" customHeight="1">
      <c r="B166" s="14">
        <v>40118</v>
      </c>
      <c r="C166" s="7">
        <v>9621.7099999999991</v>
      </c>
      <c r="D166" s="7">
        <v>-4.2758792220066733</v>
      </c>
      <c r="E166" s="7">
        <v>4023.78</v>
      </c>
      <c r="F166" s="7">
        <v>-4.1226648875333556</v>
      </c>
      <c r="G166" s="7">
        <v>1756.74</v>
      </c>
      <c r="H166" s="7">
        <v>-1.8800268096514805</v>
      </c>
      <c r="I166" s="7">
        <v>4414.9399999999996</v>
      </c>
      <c r="J166" s="7">
        <v>6.1028598894496522</v>
      </c>
      <c r="K166" s="7">
        <v>5582.72</v>
      </c>
      <c r="L166" s="7">
        <v>-1.1855496752039896</v>
      </c>
    </row>
    <row r="167" spans="2:12" s="18" customFormat="1" ht="34.9" hidden="1" customHeight="1">
      <c r="B167" s="15">
        <v>40148</v>
      </c>
      <c r="C167" s="11">
        <v>9368</v>
      </c>
      <c r="D167" s="11">
        <v>-2.6368493750071367</v>
      </c>
      <c r="E167" s="11">
        <v>3943.6</v>
      </c>
      <c r="F167" s="11">
        <v>-1.9926536739086176</v>
      </c>
      <c r="G167" s="11">
        <v>1700.6</v>
      </c>
      <c r="H167" s="11">
        <v>-3.1956920204469697</v>
      </c>
      <c r="I167" s="11">
        <v>4563.2</v>
      </c>
      <c r="J167" s="11">
        <v>3.3581430325213981</v>
      </c>
      <c r="K167" s="11">
        <v>5520.1</v>
      </c>
      <c r="L167" s="11">
        <v>-1.1216754556918471</v>
      </c>
    </row>
    <row r="168" spans="2:12" s="18" customFormat="1" ht="34.9" hidden="1" customHeight="1">
      <c r="B168" s="3">
        <v>2010</v>
      </c>
      <c r="C168" s="96"/>
      <c r="D168" s="96"/>
      <c r="E168" s="93"/>
      <c r="F168" s="93"/>
      <c r="G168" s="93"/>
      <c r="H168" s="93"/>
      <c r="I168" s="93"/>
      <c r="J168" s="93"/>
      <c r="K168" s="93"/>
      <c r="L168" s="93"/>
    </row>
    <row r="169" spans="2:12" s="18" customFormat="1" ht="34.9" hidden="1" customHeight="1">
      <c r="B169" s="14">
        <v>40179</v>
      </c>
      <c r="C169" s="7">
        <v>9088.2000000000007</v>
      </c>
      <c r="D169" s="7">
        <v>-2.9867634500427016</v>
      </c>
      <c r="E169" s="7">
        <v>3804.1</v>
      </c>
      <c r="F169" s="7">
        <v>-3.5373770159245366</v>
      </c>
      <c r="G169" s="7">
        <v>1695.1</v>
      </c>
      <c r="H169" s="7">
        <v>-0.32341526520052355</v>
      </c>
      <c r="I169" s="7">
        <v>4575.1000000000004</v>
      </c>
      <c r="J169" s="7">
        <v>0.26078190743339746</v>
      </c>
      <c r="K169" s="7">
        <v>5433.9</v>
      </c>
      <c r="L169" s="7">
        <v>-1.5615659136609992</v>
      </c>
    </row>
    <row r="170" spans="2:12" s="18" customFormat="1" ht="34.9" hidden="1" customHeight="1">
      <c r="B170" s="15">
        <v>40210</v>
      </c>
      <c r="C170" s="11">
        <v>8946.5</v>
      </c>
      <c r="D170" s="11">
        <v>-1.5591646310600615</v>
      </c>
      <c r="E170" s="11">
        <v>3804.5</v>
      </c>
      <c r="F170" s="11">
        <v>1.051497068951246E-2</v>
      </c>
      <c r="G170" s="11">
        <v>1647.6</v>
      </c>
      <c r="H170" s="11">
        <v>-2.80219456079287</v>
      </c>
      <c r="I170" s="11">
        <v>4411.5</v>
      </c>
      <c r="J170" s="11">
        <v>-3.5758781228825698</v>
      </c>
      <c r="K170" s="11">
        <v>5305</v>
      </c>
      <c r="L170" s="11">
        <v>-2.3721452363863804</v>
      </c>
    </row>
    <row r="171" spans="2:12" s="18" customFormat="1" ht="34.9" hidden="1" customHeight="1">
      <c r="B171" s="14">
        <v>40238</v>
      </c>
      <c r="C171" s="7">
        <v>8785.1</v>
      </c>
      <c r="D171" s="7">
        <v>-1.8040574526350994</v>
      </c>
      <c r="E171" s="7">
        <v>3791.7</v>
      </c>
      <c r="F171" s="7">
        <v>-0.3364436851097441</v>
      </c>
      <c r="G171" s="7">
        <v>1727.2</v>
      </c>
      <c r="H171" s="7">
        <v>4.8312697256615689</v>
      </c>
      <c r="I171" s="7">
        <v>4404.6000000000004</v>
      </c>
      <c r="J171" s="7">
        <v>-0.15640938456306097</v>
      </c>
      <c r="K171" s="7">
        <v>5301.8</v>
      </c>
      <c r="L171" s="7">
        <v>-6.0320452403395119E-2</v>
      </c>
    </row>
    <row r="172" spans="2:12" s="18" customFormat="1" ht="34.9" hidden="1" customHeight="1">
      <c r="B172" s="15">
        <v>40269</v>
      </c>
      <c r="C172" s="11">
        <v>9139.1</v>
      </c>
      <c r="D172" s="11">
        <v>4.0295500335795875</v>
      </c>
      <c r="E172" s="11">
        <v>3465.8</v>
      </c>
      <c r="F172" s="11">
        <v>-8.5950892739404381</v>
      </c>
      <c r="G172" s="11">
        <v>1726.3</v>
      </c>
      <c r="H172" s="11">
        <v>-5.2107457156091996E-2</v>
      </c>
      <c r="I172" s="11">
        <v>4482.2</v>
      </c>
      <c r="J172" s="11">
        <v>1.7617944875811586</v>
      </c>
      <c r="K172" s="11">
        <v>5433.6</v>
      </c>
      <c r="L172" s="11">
        <v>2.4859481685465257</v>
      </c>
    </row>
    <row r="173" spans="2:12" s="18" customFormat="1" ht="34.9" hidden="1" customHeight="1">
      <c r="B173" s="14">
        <v>40299</v>
      </c>
      <c r="C173" s="7">
        <v>8723.1</v>
      </c>
      <c r="D173" s="7">
        <v>-4.5518705342976862</v>
      </c>
      <c r="E173" s="7">
        <v>3126.3</v>
      </c>
      <c r="F173" s="7">
        <v>-9.795718160309308</v>
      </c>
      <c r="G173" s="7">
        <v>1584.1</v>
      </c>
      <c r="H173" s="7">
        <v>-8.2372704628395965</v>
      </c>
      <c r="I173" s="7">
        <v>4046.5</v>
      </c>
      <c r="J173" s="7">
        <v>-9.7206728838516767</v>
      </c>
      <c r="K173" s="7">
        <v>5065.7</v>
      </c>
      <c r="L173" s="7">
        <v>-6.7708333333333481</v>
      </c>
    </row>
    <row r="174" spans="2:12" s="18" customFormat="1" ht="34.9" hidden="1" customHeight="1">
      <c r="B174" s="15">
        <v>40330</v>
      </c>
      <c r="C174" s="11">
        <v>8750.98</v>
      </c>
      <c r="D174" s="11">
        <v>0.31961114741319019</v>
      </c>
      <c r="E174" s="11">
        <v>2647.41</v>
      </c>
      <c r="F174" s="11">
        <v>-15.318107667210445</v>
      </c>
      <c r="G174" s="11">
        <v>1540.14</v>
      </c>
      <c r="H174" s="11">
        <v>-2.7750773309765719</v>
      </c>
      <c r="I174" s="11">
        <v>4034.95</v>
      </c>
      <c r="J174" s="11">
        <v>-0.28543185468924426</v>
      </c>
      <c r="K174" s="11">
        <v>5038.96</v>
      </c>
      <c r="L174" s="11">
        <v>-0.52786386876443325</v>
      </c>
    </row>
    <row r="175" spans="2:12" s="18" customFormat="1" ht="34.9" hidden="1" customHeight="1">
      <c r="B175" s="14">
        <v>40360</v>
      </c>
      <c r="C175" s="7">
        <v>8616.51</v>
      </c>
      <c r="D175" s="7">
        <v>-1.5366278976754577</v>
      </c>
      <c r="E175" s="7">
        <v>2510.63</v>
      </c>
      <c r="F175" s="7">
        <v>-5.1665590142818685</v>
      </c>
      <c r="G175" s="7">
        <v>1564.5</v>
      </c>
      <c r="H175" s="7">
        <v>1.5816743932369759</v>
      </c>
      <c r="I175" s="7">
        <v>3922.18</v>
      </c>
      <c r="J175" s="7">
        <v>-2.7948301713775825</v>
      </c>
      <c r="K175" s="7">
        <v>4971.7</v>
      </c>
      <c r="L175" s="7">
        <v>-1.3347992442885093</v>
      </c>
    </row>
    <row r="176" spans="2:12" s="18" customFormat="1" ht="34.9" hidden="1" customHeight="1">
      <c r="B176" s="15">
        <v>40391</v>
      </c>
      <c r="C176" s="11">
        <v>8425.61</v>
      </c>
      <c r="D176" s="11">
        <v>-2.2155141698901204</v>
      </c>
      <c r="E176" s="11">
        <v>2456.98</v>
      </c>
      <c r="F176" s="11">
        <v>-2.1369138423423584</v>
      </c>
      <c r="G176" s="11">
        <v>1522.32</v>
      </c>
      <c r="H176" s="11">
        <v>-2.6960690316395031</v>
      </c>
      <c r="I176" s="11">
        <v>3807.74</v>
      </c>
      <c r="J176" s="11">
        <v>-2.9177651204177257</v>
      </c>
      <c r="K176" s="11">
        <v>4847.6099999999997</v>
      </c>
      <c r="L176" s="11">
        <v>-2.4959269465172906</v>
      </c>
    </row>
    <row r="177" spans="2:12" s="18" customFormat="1" ht="34.9" hidden="1" customHeight="1">
      <c r="B177" s="14">
        <v>40422</v>
      </c>
      <c r="C177" s="7">
        <v>8425.6</v>
      </c>
      <c r="D177" s="7">
        <v>-1.1868576874629611E-4</v>
      </c>
      <c r="E177" s="7">
        <v>2457</v>
      </c>
      <c r="F177" s="7">
        <v>8.1400744003090608E-4</v>
      </c>
      <c r="G177" s="7">
        <v>1573.1</v>
      </c>
      <c r="H177" s="7">
        <v>3.3356981449366829</v>
      </c>
      <c r="I177" s="7">
        <v>4055.4</v>
      </c>
      <c r="J177" s="7">
        <v>6.5041205544496217</v>
      </c>
      <c r="K177" s="7">
        <v>5040.6000000000004</v>
      </c>
      <c r="L177" s="7">
        <v>3.9811370964248471</v>
      </c>
    </row>
    <row r="178" spans="2:12" s="18" customFormat="1" ht="34.9" hidden="1" customHeight="1">
      <c r="B178" s="15">
        <v>40452</v>
      </c>
      <c r="C178" s="11">
        <v>8833.4</v>
      </c>
      <c r="D178" s="11">
        <v>4.8400113938473099</v>
      </c>
      <c r="E178" s="11">
        <v>2219.1</v>
      </c>
      <c r="F178" s="11">
        <v>-9.6825396825396819</v>
      </c>
      <c r="G178" s="11">
        <v>1539.6</v>
      </c>
      <c r="H178" s="11">
        <v>-2.1295531116902966</v>
      </c>
      <c r="I178" s="11">
        <v>4257.3</v>
      </c>
      <c r="J178" s="11">
        <v>4.9785471223553701</v>
      </c>
      <c r="K178" s="11">
        <v>5135.3</v>
      </c>
      <c r="L178" s="11">
        <v>1.8787445938975411</v>
      </c>
    </row>
    <row r="179" spans="2:12" s="18" customFormat="1" ht="34.9" hidden="1" customHeight="1">
      <c r="B179" s="14">
        <v>40483</v>
      </c>
      <c r="C179" s="7">
        <v>8894.2000000000007</v>
      </c>
      <c r="D179" s="7">
        <v>0.68829669210044298</v>
      </c>
      <c r="E179" s="7">
        <v>2093.4</v>
      </c>
      <c r="F179" s="7">
        <v>-5.6644585642828149</v>
      </c>
      <c r="G179" s="7">
        <v>1522.2</v>
      </c>
      <c r="H179" s="7">
        <v>-1.130163678877627</v>
      </c>
      <c r="I179" s="7">
        <v>4281</v>
      </c>
      <c r="J179" s="7">
        <v>0.55669086040448512</v>
      </c>
      <c r="K179" s="7">
        <v>5150.7</v>
      </c>
      <c r="L179" s="7">
        <v>0.29988510895175846</v>
      </c>
    </row>
    <row r="180" spans="2:12" s="18" customFormat="1" ht="34.9" hidden="1" customHeight="1">
      <c r="B180" s="15">
        <v>40513</v>
      </c>
      <c r="C180" s="11">
        <v>8848.2999999999993</v>
      </c>
      <c r="D180" s="11">
        <v>-0.51606665017653874</v>
      </c>
      <c r="E180" s="11">
        <v>2103.5</v>
      </c>
      <c r="F180" s="11">
        <v>0.48246871118753365</v>
      </c>
      <c r="G180" s="11">
        <v>1506.4</v>
      </c>
      <c r="H180" s="11">
        <v>-1.0379713572460925</v>
      </c>
      <c r="I180" s="11">
        <v>4841.7</v>
      </c>
      <c r="J180" s="11">
        <v>13.097407147862651</v>
      </c>
      <c r="K180" s="11">
        <v>5318</v>
      </c>
      <c r="L180" s="11">
        <v>3.2481021997010195</v>
      </c>
    </row>
    <row r="181" spans="2:12" s="18" customFormat="1" ht="34.9" hidden="1" customHeight="1">
      <c r="B181" s="3">
        <v>2011</v>
      </c>
      <c r="C181" s="96"/>
      <c r="D181" s="96"/>
      <c r="E181" s="93"/>
      <c r="F181" s="93"/>
      <c r="G181" s="93"/>
      <c r="H181" s="93"/>
      <c r="I181" s="93"/>
      <c r="J181" s="93"/>
      <c r="K181" s="93"/>
      <c r="L181" s="93"/>
    </row>
    <row r="182" spans="2:12" s="18" customFormat="1" ht="34.9" hidden="1" customHeight="1">
      <c r="B182" s="14">
        <v>40544</v>
      </c>
      <c r="C182" s="7">
        <v>8808.7999999999993</v>
      </c>
      <c r="D182" s="7">
        <v>-0.44641343534915778</v>
      </c>
      <c r="E182" s="7">
        <v>2132.3000000000002</v>
      </c>
      <c r="F182" s="7">
        <v>1.3691466603280356</v>
      </c>
      <c r="G182" s="7">
        <v>1522.6</v>
      </c>
      <c r="H182" s="7">
        <v>1.075411577270291</v>
      </c>
      <c r="I182" s="7">
        <v>4800.8999999999996</v>
      </c>
      <c r="J182" s="7">
        <v>-0.84267922423942876</v>
      </c>
      <c r="K182" s="7">
        <v>5302.1</v>
      </c>
      <c r="L182" s="7">
        <v>-0.29898458066941469</v>
      </c>
    </row>
    <row r="183" spans="2:12" s="18" customFormat="1" ht="34.9" hidden="1" customHeight="1">
      <c r="B183" s="15">
        <v>40575</v>
      </c>
      <c r="C183" s="11">
        <v>8464.5</v>
      </c>
      <c r="D183" s="11">
        <v>-3.9085914085913998</v>
      </c>
      <c r="E183" s="11">
        <v>1987.2</v>
      </c>
      <c r="F183" s="11">
        <v>-6.8048586033860214</v>
      </c>
      <c r="G183" s="11">
        <v>1447</v>
      </c>
      <c r="H183" s="11">
        <v>-4.9651911204518502</v>
      </c>
      <c r="I183" s="11">
        <v>4490.8</v>
      </c>
      <c r="J183" s="11">
        <v>-6.4592055656231047</v>
      </c>
      <c r="K183" s="11">
        <v>5042.6000000000004</v>
      </c>
      <c r="L183" s="11">
        <v>-4.8942871692348344</v>
      </c>
    </row>
    <row r="184" spans="2:12" s="18" customFormat="1" ht="34.9" hidden="1" customHeight="1">
      <c r="B184" s="14">
        <v>40603</v>
      </c>
      <c r="C184" s="7">
        <v>8339</v>
      </c>
      <c r="D184" s="7">
        <v>-1.4826628861716595</v>
      </c>
      <c r="E184" s="7">
        <v>2026.1</v>
      </c>
      <c r="F184" s="7">
        <v>1.9575281803542621</v>
      </c>
      <c r="G184" s="7">
        <v>1424.3</v>
      </c>
      <c r="H184" s="7">
        <v>-1.5687629578438167</v>
      </c>
      <c r="I184" s="7">
        <v>4176.3999999999996</v>
      </c>
      <c r="J184" s="7">
        <v>-7.0009797808853751</v>
      </c>
      <c r="K184" s="7">
        <v>4883.5</v>
      </c>
      <c r="L184" s="7">
        <v>-3.1551183913060776</v>
      </c>
    </row>
    <row r="185" spans="2:12" s="18" customFormat="1" ht="34.9" hidden="1" customHeight="1">
      <c r="B185" s="15">
        <v>40634</v>
      </c>
      <c r="C185" s="11">
        <v>8284.4</v>
      </c>
      <c r="D185" s="11">
        <v>-0.65475476675861399</v>
      </c>
      <c r="E185" s="11">
        <v>2085.1999999999998</v>
      </c>
      <c r="F185" s="11">
        <v>2.9169340111544262</v>
      </c>
      <c r="G185" s="11">
        <v>1422.6</v>
      </c>
      <c r="H185" s="11">
        <v>-0.11935687706241538</v>
      </c>
      <c r="I185" s="11">
        <v>4464.5</v>
      </c>
      <c r="J185" s="11">
        <v>6.8982856048271257</v>
      </c>
      <c r="K185" s="11">
        <v>4962.1000000000004</v>
      </c>
      <c r="L185" s="11">
        <v>1.6095013822053916</v>
      </c>
    </row>
    <row r="186" spans="2:12" s="18" customFormat="1" ht="34.9" hidden="1" customHeight="1">
      <c r="B186" s="14">
        <v>40664</v>
      </c>
      <c r="C186" s="7">
        <v>8287.2000000000007</v>
      </c>
      <c r="D186" s="7">
        <v>3.3798464584045007E-2</v>
      </c>
      <c r="E186" s="7">
        <v>2052.8000000000002</v>
      </c>
      <c r="F186" s="7">
        <v>-1.5538077882217394</v>
      </c>
      <c r="G186" s="7">
        <v>1399.6</v>
      </c>
      <c r="H186" s="7">
        <v>-1.6167580486433297</v>
      </c>
      <c r="I186" s="7">
        <v>4326.8999999999996</v>
      </c>
      <c r="J186" s="7">
        <v>-3.082092059581143</v>
      </c>
      <c r="K186" s="7">
        <v>4902.3</v>
      </c>
      <c r="L186" s="7">
        <v>-1.2051349227141794</v>
      </c>
    </row>
    <row r="187" spans="2:12" s="18" customFormat="1" ht="34.9" hidden="1" customHeight="1">
      <c r="B187" s="15">
        <v>40695</v>
      </c>
      <c r="C187" s="11">
        <v>8002.9</v>
      </c>
      <c r="D187" s="11">
        <v>-3.43059175596101</v>
      </c>
      <c r="E187" s="11">
        <v>1976.9</v>
      </c>
      <c r="F187" s="11">
        <v>-3.6973889321901821</v>
      </c>
      <c r="G187" s="11">
        <v>1377.8</v>
      </c>
      <c r="H187" s="11">
        <v>-1.557587882252065</v>
      </c>
      <c r="I187" s="11">
        <v>4289</v>
      </c>
      <c r="J187" s="11">
        <v>-0.87591578266194015</v>
      </c>
      <c r="K187" s="11">
        <v>4787.3</v>
      </c>
      <c r="L187" s="11">
        <v>-2.3458376680333681</v>
      </c>
    </row>
    <row r="188" spans="2:12" s="18" customFormat="1" ht="34.9" hidden="1" customHeight="1">
      <c r="B188" s="14">
        <v>40725</v>
      </c>
      <c r="C188" s="7">
        <v>8100.6</v>
      </c>
      <c r="D188" s="7">
        <v>1.2208074572967353</v>
      </c>
      <c r="E188" s="7">
        <v>1949.9</v>
      </c>
      <c r="F188" s="7">
        <v>-1.3657746977591145</v>
      </c>
      <c r="G188" s="7">
        <v>1375</v>
      </c>
      <c r="H188" s="7">
        <v>-0.20322252866888935</v>
      </c>
      <c r="I188" s="7">
        <v>4356.1000000000004</v>
      </c>
      <c r="J188" s="7">
        <v>1.5644672417813199</v>
      </c>
      <c r="K188" s="7">
        <v>4838.5</v>
      </c>
      <c r="L188" s="7">
        <v>1.0694963758277165</v>
      </c>
    </row>
    <row r="189" spans="2:12" s="18" customFormat="1" ht="34.9" hidden="1" customHeight="1">
      <c r="B189" s="15">
        <v>40756</v>
      </c>
      <c r="C189" s="11">
        <v>7970.9</v>
      </c>
      <c r="D189" s="11">
        <v>-1.6011159667185249</v>
      </c>
      <c r="E189" s="11">
        <v>1980</v>
      </c>
      <c r="F189" s="11">
        <v>1.5436689060977393</v>
      </c>
      <c r="G189" s="11">
        <v>1335.6</v>
      </c>
      <c r="H189" s="11">
        <v>-2.8654545454545488</v>
      </c>
      <c r="I189" s="11">
        <v>4216.3999999999996</v>
      </c>
      <c r="J189" s="11">
        <v>-3.2069970845481244</v>
      </c>
      <c r="K189" s="11">
        <v>4727.5</v>
      </c>
      <c r="L189" s="11">
        <v>-2.2940994109744706</v>
      </c>
    </row>
    <row r="190" spans="2:12" s="18" customFormat="1" ht="34.9" hidden="1" customHeight="1">
      <c r="B190" s="14">
        <v>40787</v>
      </c>
      <c r="C190" s="7">
        <v>7698</v>
      </c>
      <c r="D190" s="7">
        <v>-3.4237037222898281</v>
      </c>
      <c r="E190" s="7">
        <v>1905.1</v>
      </c>
      <c r="F190" s="7">
        <v>-3.7828282828282878</v>
      </c>
      <c r="G190" s="7">
        <v>1298.8</v>
      </c>
      <c r="H190" s="7">
        <v>-2.7553159628631252</v>
      </c>
      <c r="I190" s="7">
        <v>3998.7</v>
      </c>
      <c r="J190" s="7">
        <v>-5.1631723745375169</v>
      </c>
      <c r="K190" s="7">
        <v>4545.3999999999996</v>
      </c>
      <c r="L190" s="7">
        <v>-3.8519301956636776</v>
      </c>
    </row>
    <row r="191" spans="2:12" s="18" customFormat="1" ht="34.9" hidden="1" customHeight="1">
      <c r="B191" s="15">
        <v>40817</v>
      </c>
      <c r="C191" s="11">
        <v>7644.7</v>
      </c>
      <c r="D191" s="11">
        <v>-0.69238763315147001</v>
      </c>
      <c r="E191" s="11">
        <v>1783.6</v>
      </c>
      <c r="F191" s="11">
        <v>-6.3776179728098237</v>
      </c>
      <c r="G191" s="11">
        <v>1322.4</v>
      </c>
      <c r="H191" s="11">
        <v>1.8170619032953583</v>
      </c>
      <c r="I191" s="11">
        <v>4329.1000000000004</v>
      </c>
      <c r="J191" s="11">
        <v>8.262685372746148</v>
      </c>
      <c r="K191" s="11">
        <v>4658.7</v>
      </c>
      <c r="L191" s="11">
        <v>2.4926299115589412</v>
      </c>
    </row>
    <row r="192" spans="2:12" s="18" customFormat="1" ht="34.9" hidden="1" customHeight="1">
      <c r="B192" s="14">
        <v>40848</v>
      </c>
      <c r="C192" s="7">
        <v>7293.5</v>
      </c>
      <c r="D192" s="7">
        <v>-4.5940324669378807</v>
      </c>
      <c r="E192" s="7">
        <v>1675.1</v>
      </c>
      <c r="F192" s="7">
        <v>-6.0832025117739441</v>
      </c>
      <c r="G192" s="7">
        <v>1295.2</v>
      </c>
      <c r="H192" s="7">
        <v>-2.0568663036902635</v>
      </c>
      <c r="I192" s="7">
        <v>4209.7</v>
      </c>
      <c r="J192" s="7">
        <v>-2.758079046453088</v>
      </c>
      <c r="K192" s="7">
        <v>4493</v>
      </c>
      <c r="L192" s="7">
        <v>-3.5567862279176521</v>
      </c>
    </row>
    <row r="193" spans="2:12" s="18" customFormat="1" ht="34.9" hidden="1" customHeight="1">
      <c r="B193" s="15">
        <v>40878</v>
      </c>
      <c r="C193" s="11">
        <v>7542.3</v>
      </c>
      <c r="D193" s="11">
        <v>3.4112565983409837</v>
      </c>
      <c r="E193" s="11">
        <v>1703.7</v>
      </c>
      <c r="F193" s="11">
        <v>1.7073607545818215</v>
      </c>
      <c r="G193" s="11">
        <v>1302.0999999999999</v>
      </c>
      <c r="H193" s="11">
        <v>0.53273625694871818</v>
      </c>
      <c r="I193" s="11">
        <v>4427.3999999999996</v>
      </c>
      <c r="J193" s="11">
        <v>5.1713898852649764</v>
      </c>
      <c r="K193" s="11">
        <v>4648.3999999999996</v>
      </c>
      <c r="L193" s="11">
        <v>3.4587135544179803</v>
      </c>
    </row>
    <row r="194" spans="2:12" s="18" customFormat="1" ht="34.9" hidden="1" customHeight="1">
      <c r="B194" s="3">
        <v>2012</v>
      </c>
      <c r="C194" s="96"/>
      <c r="D194" s="96"/>
      <c r="E194" s="93"/>
      <c r="F194" s="93"/>
      <c r="G194" s="93"/>
      <c r="H194" s="93"/>
      <c r="I194" s="93"/>
      <c r="J194" s="93"/>
      <c r="K194" s="93"/>
      <c r="L194" s="93"/>
    </row>
    <row r="195" spans="2:12" s="18" customFormat="1" ht="34.9" hidden="1" customHeight="1">
      <c r="B195" s="14">
        <v>40909</v>
      </c>
      <c r="C195" s="7">
        <v>7184.6</v>
      </c>
      <c r="D195" s="7">
        <v>-4.7425851530700118</v>
      </c>
      <c r="E195" s="7">
        <v>1583.7</v>
      </c>
      <c r="F195" s="7">
        <v>-7.0434935728121095</v>
      </c>
      <c r="G195" s="7">
        <v>1301.5</v>
      </c>
      <c r="H195" s="7">
        <v>-4.6079410183541558E-2</v>
      </c>
      <c r="I195" s="7">
        <v>4068.6</v>
      </c>
      <c r="J195" s="7">
        <v>-8.1040791435153743</v>
      </c>
      <c r="K195" s="7">
        <v>4414</v>
      </c>
      <c r="L195" s="7">
        <v>-5.0425953016091434</v>
      </c>
    </row>
    <row r="196" spans="2:12" s="18" customFormat="1" ht="34.9" hidden="1" customHeight="1">
      <c r="B196" s="15">
        <v>40940</v>
      </c>
      <c r="C196" s="11">
        <v>7298.4</v>
      </c>
      <c r="D196" s="11">
        <v>1.58394343456838</v>
      </c>
      <c r="E196" s="11">
        <v>1390.6</v>
      </c>
      <c r="F196" s="11">
        <v>-12.192965839489812</v>
      </c>
      <c r="G196" s="11">
        <v>1291.3</v>
      </c>
      <c r="H196" s="11">
        <v>-0.78371110257395848</v>
      </c>
      <c r="I196" s="11">
        <v>4293.5</v>
      </c>
      <c r="J196" s="11">
        <v>5.5276999459273446</v>
      </c>
      <c r="K196" s="11">
        <v>4519.3999999999996</v>
      </c>
      <c r="L196" s="11">
        <v>2.3878568192115868</v>
      </c>
    </row>
    <row r="197" spans="2:12" s="18" customFormat="1" ht="34.9" hidden="1" customHeight="1">
      <c r="B197" s="14">
        <v>40969</v>
      </c>
      <c r="C197" s="7">
        <v>7747</v>
      </c>
      <c r="D197" s="7">
        <v>6.1465526690781536</v>
      </c>
      <c r="E197" s="7">
        <v>1330.3</v>
      </c>
      <c r="F197" s="7">
        <v>-4.3362577304760457</v>
      </c>
      <c r="G197" s="7">
        <v>1311</v>
      </c>
      <c r="H197" s="7">
        <v>1.525594362270577</v>
      </c>
      <c r="I197" s="7">
        <v>4358.5</v>
      </c>
      <c r="J197" s="7">
        <v>1.5139163852334825</v>
      </c>
      <c r="K197" s="7">
        <v>4692</v>
      </c>
      <c r="L197" s="7">
        <v>3.8190910297827285</v>
      </c>
    </row>
    <row r="198" spans="2:12" s="18" customFormat="1" ht="34.9" hidden="1" customHeight="1">
      <c r="B198" s="15">
        <v>41000</v>
      </c>
      <c r="C198" s="11">
        <v>7771.4</v>
      </c>
      <c r="D198" s="11">
        <v>0.31496062992124596</v>
      </c>
      <c r="E198" s="11">
        <v>1317.6</v>
      </c>
      <c r="F198" s="11">
        <v>-0.95467187852364965</v>
      </c>
      <c r="G198" s="11">
        <v>1273.5999999999999</v>
      </c>
      <c r="H198" s="11">
        <v>-2.8527841342486759</v>
      </c>
      <c r="I198" s="11">
        <v>4263.1000000000004</v>
      </c>
      <c r="J198" s="11">
        <v>-2.1888264311116123</v>
      </c>
      <c r="K198" s="11">
        <v>4643.7</v>
      </c>
      <c r="L198" s="11">
        <v>-1.0294117647058898</v>
      </c>
    </row>
    <row r="199" spans="2:12" s="18" customFormat="1" ht="34.9" hidden="1" customHeight="1">
      <c r="B199" s="14">
        <v>41030</v>
      </c>
      <c r="C199" s="7">
        <v>7257.5</v>
      </c>
      <c r="D199" s="7">
        <v>-6.6127081349563692</v>
      </c>
      <c r="E199" s="7">
        <v>1281.9000000000001</v>
      </c>
      <c r="F199" s="7">
        <v>-2.7094717668488033</v>
      </c>
      <c r="G199" s="7">
        <v>1196.3</v>
      </c>
      <c r="H199" s="7">
        <v>-6.0694095477386911</v>
      </c>
      <c r="I199" s="7">
        <v>4140.8</v>
      </c>
      <c r="J199" s="7">
        <v>-2.8688043911707428</v>
      </c>
      <c r="K199" s="7">
        <v>4396</v>
      </c>
      <c r="L199" s="7">
        <v>-5.3341085772121382</v>
      </c>
    </row>
    <row r="200" spans="2:12" s="18" customFormat="1" ht="34.9" hidden="1" customHeight="1">
      <c r="B200" s="15">
        <v>41061</v>
      </c>
      <c r="C200" s="11">
        <v>7196.7</v>
      </c>
      <c r="D200" s="11">
        <v>-7.395063952440994</v>
      </c>
      <c r="E200" s="11">
        <v>1263.9000000000001</v>
      </c>
      <c r="F200" s="11">
        <v>-1.4041656915516065</v>
      </c>
      <c r="G200" s="11">
        <v>1197.8</v>
      </c>
      <c r="H200" s="11">
        <v>-5.9516331658291399</v>
      </c>
      <c r="I200" s="11">
        <v>4174.6000000000004</v>
      </c>
      <c r="J200" s="11">
        <v>-2.0759541178954288</v>
      </c>
      <c r="K200" s="11">
        <v>4389.8</v>
      </c>
      <c r="L200" s="11">
        <v>-5.467622800783845</v>
      </c>
    </row>
    <row r="201" spans="2:12" s="18" customFormat="1" ht="34.9" hidden="1" customHeight="1">
      <c r="B201" s="14">
        <v>41091</v>
      </c>
      <c r="C201" s="7">
        <v>7079.7</v>
      </c>
      <c r="D201" s="7">
        <v>-1.6257451331860406</v>
      </c>
      <c r="E201" s="7">
        <v>1268.0999999999999</v>
      </c>
      <c r="F201" s="7">
        <v>0.33230477094705613</v>
      </c>
      <c r="G201" s="7">
        <v>1184.5999999999999</v>
      </c>
      <c r="H201" s="7">
        <v>-1.1020203706795795</v>
      </c>
      <c r="I201" s="7">
        <v>4187</v>
      </c>
      <c r="J201" s="7">
        <v>0.29703444641402399</v>
      </c>
      <c r="K201" s="7">
        <v>4350.1000000000004</v>
      </c>
      <c r="L201" s="7">
        <v>-0.90436921955441285</v>
      </c>
    </row>
    <row r="202" spans="2:12" s="18" customFormat="1" ht="34.9" hidden="1" customHeight="1">
      <c r="B202" s="15">
        <v>41122</v>
      </c>
      <c r="C202" s="11">
        <v>7534</v>
      </c>
      <c r="D202" s="11">
        <v>6.4169385708434001</v>
      </c>
      <c r="E202" s="11">
        <v>1268.0999999999999</v>
      </c>
      <c r="F202" s="11">
        <v>0</v>
      </c>
      <c r="G202" s="11">
        <v>1184.8</v>
      </c>
      <c r="H202" s="11">
        <v>1.6883336147222039E-2</v>
      </c>
      <c r="I202" s="11">
        <v>4549.3</v>
      </c>
      <c r="J202" s="11">
        <v>8.6529734893718633</v>
      </c>
      <c r="K202" s="11">
        <v>4612.7</v>
      </c>
      <c r="L202" s="11">
        <v>6.0366428357968571</v>
      </c>
    </row>
    <row r="203" spans="2:12" s="18" customFormat="1" ht="34.9" hidden="1" customHeight="1">
      <c r="B203" s="14">
        <v>41153</v>
      </c>
      <c r="C203" s="7">
        <v>7274.7</v>
      </c>
      <c r="D203" s="7">
        <v>-3.4417308202813968</v>
      </c>
      <c r="E203" s="7">
        <v>1255.5</v>
      </c>
      <c r="F203" s="7">
        <v>-0.99361249112844829</v>
      </c>
      <c r="G203" s="7">
        <v>1172.2</v>
      </c>
      <c r="H203" s="7">
        <v>-1.0634706279540773</v>
      </c>
      <c r="I203" s="7">
        <v>4626</v>
      </c>
      <c r="J203" s="7">
        <v>1.6859736662783176</v>
      </c>
      <c r="K203" s="7">
        <v>4551.8</v>
      </c>
      <c r="L203" s="7">
        <v>-1.3202679558609876</v>
      </c>
    </row>
    <row r="204" spans="2:12" s="18" customFormat="1" ht="34.9" hidden="1" customHeight="1">
      <c r="B204" s="15">
        <v>41183</v>
      </c>
      <c r="C204" s="11">
        <v>7158.4</v>
      </c>
      <c r="D204" s="11">
        <v>-1.5986913549699722</v>
      </c>
      <c r="E204" s="11">
        <v>1263.9000000000001</v>
      </c>
      <c r="F204" s="11">
        <v>0.66905615292713883</v>
      </c>
      <c r="G204" s="11">
        <v>1229.7</v>
      </c>
      <c r="H204" s="11">
        <v>4.9053062617300691</v>
      </c>
      <c r="I204" s="11">
        <v>4624.8</v>
      </c>
      <c r="J204" s="11">
        <v>-2.5940337224383825E-2</v>
      </c>
      <c r="K204" s="11">
        <v>4551.1000000000004</v>
      </c>
      <c r="L204" s="11">
        <v>-1.5378531569920639E-2</v>
      </c>
    </row>
    <row r="205" spans="2:12" s="18" customFormat="1" ht="34.9" hidden="1" customHeight="1">
      <c r="B205" s="14">
        <v>41214</v>
      </c>
      <c r="C205" s="7">
        <v>7131.8788680636471</v>
      </c>
      <c r="D205" s="7">
        <v>-0.37048966160527774</v>
      </c>
      <c r="E205" s="7">
        <v>1280.7771085209017</v>
      </c>
      <c r="F205" s="7">
        <v>1.3353199241159519</v>
      </c>
      <c r="G205" s="7">
        <v>1236.8042923959572</v>
      </c>
      <c r="H205" s="7">
        <v>0.57772565633547046</v>
      </c>
      <c r="I205" s="7">
        <v>4707.3074061272346</v>
      </c>
      <c r="J205" s="7">
        <v>1.7840210631213216</v>
      </c>
      <c r="K205" s="7">
        <v>4576.0340604816574</v>
      </c>
      <c r="L205" s="7">
        <v>0.54786887745066348</v>
      </c>
    </row>
    <row r="206" spans="2:12" s="18" customFormat="1" ht="34.9" hidden="1" customHeight="1">
      <c r="B206" s="15">
        <v>41244</v>
      </c>
      <c r="C206" s="11">
        <v>7297.3646745222804</v>
      </c>
      <c r="D206" s="11">
        <v>2.3203675990582706</v>
      </c>
      <c r="E206" s="11">
        <v>1251.0307566255822</v>
      </c>
      <c r="F206" s="11">
        <v>-2.3225237004486976</v>
      </c>
      <c r="G206" s="11">
        <v>1240.3888111042536</v>
      </c>
      <c r="H206" s="11">
        <v>0.28982101132204452</v>
      </c>
      <c r="I206" s="11">
        <v>4606.364542849954</v>
      </c>
      <c r="J206" s="11">
        <v>-2.1443864733773021</v>
      </c>
      <c r="K206" s="11">
        <v>4593.945989906776</v>
      </c>
      <c r="L206" s="11">
        <v>0.39142911063108077</v>
      </c>
    </row>
    <row r="207" spans="2:12" s="18" customFormat="1" ht="34.9" hidden="1" customHeight="1">
      <c r="B207" s="3">
        <v>2013</v>
      </c>
      <c r="C207" s="96"/>
      <c r="D207" s="96"/>
      <c r="E207" s="93"/>
      <c r="F207" s="93"/>
      <c r="G207" s="93"/>
      <c r="H207" s="93"/>
      <c r="I207" s="93"/>
      <c r="J207" s="93"/>
      <c r="K207" s="93"/>
      <c r="L207" s="93"/>
    </row>
    <row r="208" spans="2:12" s="18" customFormat="1" ht="34.9" hidden="1" customHeight="1">
      <c r="B208" s="14">
        <v>41275</v>
      </c>
      <c r="C208" s="7">
        <v>7619.5</v>
      </c>
      <c r="D208" s="7">
        <v>4.4144062938557624</v>
      </c>
      <c r="E208" s="7">
        <v>1244</v>
      </c>
      <c r="F208" s="7">
        <v>-0.56199710425556271</v>
      </c>
      <c r="G208" s="7">
        <v>1283.2</v>
      </c>
      <c r="H208" s="7">
        <v>3.4514330113663192</v>
      </c>
      <c r="I208" s="7">
        <v>4703</v>
      </c>
      <c r="J208" s="7">
        <v>2.0978682049827029</v>
      </c>
      <c r="K208" s="7">
        <v>4752.2</v>
      </c>
      <c r="L208" s="7">
        <v>3.4448382815322418</v>
      </c>
    </row>
    <row r="209" spans="2:12" s="18" customFormat="1" ht="34.9" hidden="1" customHeight="1">
      <c r="B209" s="15">
        <v>41306</v>
      </c>
      <c r="C209" s="11">
        <v>7667.8</v>
      </c>
      <c r="D209" s="11">
        <v>0.63389986219568595</v>
      </c>
      <c r="E209" s="11">
        <v>1244.7</v>
      </c>
      <c r="F209" s="11">
        <v>5.6270096463029162E-2</v>
      </c>
      <c r="G209" s="11">
        <v>1295.0999999999999</v>
      </c>
      <c r="H209" s="11">
        <v>0.9273690773067278</v>
      </c>
      <c r="I209" s="11">
        <v>4506.8</v>
      </c>
      <c r="J209" s="11">
        <v>-4.1718052307038072</v>
      </c>
      <c r="K209" s="11">
        <v>4705.6000000000004</v>
      </c>
      <c r="L209" s="11">
        <v>-0.9805984596607753</v>
      </c>
    </row>
    <row r="210" spans="2:12" s="18" customFormat="1" ht="34.9" hidden="1" customHeight="1">
      <c r="B210" s="14">
        <v>41334</v>
      </c>
      <c r="C210" s="7">
        <v>7360.2</v>
      </c>
      <c r="D210" s="7">
        <v>-4.0115808967370103</v>
      </c>
      <c r="E210" s="7">
        <v>1253.5999999999999</v>
      </c>
      <c r="F210" s="7">
        <v>0.71503173455449431</v>
      </c>
      <c r="G210" s="7">
        <v>1413.3</v>
      </c>
      <c r="H210" s="7">
        <v>9.1267083622886389</v>
      </c>
      <c r="I210" s="7">
        <v>4664.6000000000004</v>
      </c>
      <c r="J210" s="7">
        <v>3.5013756989438205</v>
      </c>
      <c r="K210" s="7">
        <v>4738.3</v>
      </c>
      <c r="L210" s="7">
        <v>0.69491669500170161</v>
      </c>
    </row>
    <row r="211" spans="2:12" s="18" customFormat="1" ht="34.9" hidden="1" customHeight="1">
      <c r="B211" s="15">
        <v>41365</v>
      </c>
      <c r="C211" s="11">
        <v>7240.4</v>
      </c>
      <c r="D211" s="11">
        <v>-1.6276731610554096</v>
      </c>
      <c r="E211" s="11">
        <v>1211.0999999999999</v>
      </c>
      <c r="F211" s="11">
        <v>-3.3902361199744768</v>
      </c>
      <c r="G211" s="11">
        <v>1302.2</v>
      </c>
      <c r="H211" s="11">
        <v>-7.8610344583598613</v>
      </c>
      <c r="I211" s="11">
        <v>4473.8999999999996</v>
      </c>
      <c r="J211" s="11">
        <v>-4.088239077305678</v>
      </c>
      <c r="K211" s="11">
        <v>4563.3999999999996</v>
      </c>
      <c r="L211" s="11">
        <v>-3.6911972648418279</v>
      </c>
    </row>
    <row r="212" spans="2:12" s="18" customFormat="1" ht="34.9" hidden="1" customHeight="1">
      <c r="B212" s="14">
        <v>41395</v>
      </c>
      <c r="C212" s="7">
        <v>7249.7988781811455</v>
      </c>
      <c r="D212" s="7">
        <v>0.12981158749718613</v>
      </c>
      <c r="E212" s="7">
        <v>1203.17043251266</v>
      </c>
      <c r="F212" s="7">
        <v>-0.65474093694491975</v>
      </c>
      <c r="G212" s="7">
        <v>1294.4778764742321</v>
      </c>
      <c r="H212" s="7">
        <v>-0.59300595344555784</v>
      </c>
      <c r="I212" s="7">
        <v>4545.9884441438207</v>
      </c>
      <c r="J212" s="7">
        <v>1.6113110293886956</v>
      </c>
      <c r="K212" s="7">
        <v>4585.096644111688</v>
      </c>
      <c r="L212" s="7">
        <v>0.47544909742052166</v>
      </c>
    </row>
    <row r="213" spans="2:12" s="18" customFormat="1" ht="34.9" hidden="1" customHeight="1">
      <c r="B213" s="15">
        <v>41426</v>
      </c>
      <c r="C213" s="11">
        <v>7110.8024995958103</v>
      </c>
      <c r="D213" s="11">
        <v>-1.9172446149320899</v>
      </c>
      <c r="E213" s="11">
        <v>1207.6170102365227</v>
      </c>
      <c r="F213" s="11">
        <v>0.36957172514426873</v>
      </c>
      <c r="G213" s="11">
        <v>1241.5539239459611</v>
      </c>
      <c r="H213" s="11">
        <v>-4.0884400954321336</v>
      </c>
      <c r="I213" s="11">
        <v>4285.2850284305923</v>
      </c>
      <c r="J213" s="11">
        <v>-5.7348015490243593</v>
      </c>
      <c r="K213" s="11">
        <v>4420.3487003300634</v>
      </c>
      <c r="L213" s="11">
        <v>-3.5931182387005656</v>
      </c>
    </row>
    <row r="214" spans="2:12" s="18" customFormat="1" ht="34.9" hidden="1" customHeight="1">
      <c r="B214" s="14">
        <v>41456</v>
      </c>
      <c r="C214" s="7">
        <v>7267.3</v>
      </c>
      <c r="D214" s="7">
        <v>2.2008416126461983</v>
      </c>
      <c r="E214" s="7">
        <v>1193.7</v>
      </c>
      <c r="F214" s="7">
        <v>-1.1524357572436639</v>
      </c>
      <c r="G214" s="7">
        <v>1163.9000000000001</v>
      </c>
      <c r="H214" s="7">
        <v>-6.2545752100043988</v>
      </c>
      <c r="I214" s="7">
        <v>4180.3</v>
      </c>
      <c r="J214" s="7">
        <v>-2.4498960450488605</v>
      </c>
      <c r="K214" s="7">
        <v>4380.8</v>
      </c>
      <c r="L214" s="7">
        <v>-0.89469639187311767</v>
      </c>
    </row>
    <row r="215" spans="2:12" s="18" customFormat="1" ht="34.9" hidden="1" customHeight="1">
      <c r="B215" s="15">
        <v>41487</v>
      </c>
      <c r="C215" s="11">
        <v>7212.3</v>
      </c>
      <c r="D215" s="11">
        <v>-0.75681477302437239</v>
      </c>
      <c r="E215" s="11">
        <v>1164.5999999999999</v>
      </c>
      <c r="F215" s="11">
        <v>-2.4377984418195608</v>
      </c>
      <c r="G215" s="11">
        <v>1053.3</v>
      </c>
      <c r="H215" s="11">
        <v>-9.5025345820087708</v>
      </c>
      <c r="I215" s="11">
        <v>3653.7</v>
      </c>
      <c r="J215" s="11">
        <v>-12.597182020429166</v>
      </c>
      <c r="K215" s="11">
        <v>4112</v>
      </c>
      <c r="L215" s="11">
        <v>-6.1358655953250629</v>
      </c>
    </row>
    <row r="216" spans="2:12" s="18" customFormat="1" ht="34.9" hidden="1" customHeight="1">
      <c r="B216" s="14">
        <v>41518</v>
      </c>
      <c r="C216" s="7">
        <v>7291.9</v>
      </c>
      <c r="D216" s="7">
        <v>1.1036701191020848</v>
      </c>
      <c r="E216" s="7">
        <v>1161.4000000000001</v>
      </c>
      <c r="F216" s="7">
        <v>-0.27477245406146711</v>
      </c>
      <c r="G216" s="7">
        <v>1125.8</v>
      </c>
      <c r="H216" s="7">
        <v>6.883129212949779</v>
      </c>
      <c r="I216" s="7">
        <v>2872.5</v>
      </c>
      <c r="J216" s="7">
        <v>-21.381065768946538</v>
      </c>
      <c r="K216" s="7">
        <v>3913.4</v>
      </c>
      <c r="L216" s="7">
        <v>-4.8297665369649749</v>
      </c>
    </row>
    <row r="217" spans="2:12" s="18" customFormat="1" ht="34.9" hidden="1" customHeight="1">
      <c r="B217" s="15">
        <v>41548</v>
      </c>
      <c r="C217" s="11">
        <v>7739.4</v>
      </c>
      <c r="D217" s="11">
        <v>6.1369464748556535</v>
      </c>
      <c r="E217" s="11">
        <v>1195.8</v>
      </c>
      <c r="F217" s="11">
        <v>2.9619424832099117</v>
      </c>
      <c r="G217" s="11">
        <v>1152.0999999999999</v>
      </c>
      <c r="H217" s="11">
        <v>2.3361165393497973</v>
      </c>
      <c r="I217" s="11">
        <v>3270.4</v>
      </c>
      <c r="J217" s="11">
        <v>13.852045256744994</v>
      </c>
      <c r="K217" s="11">
        <v>4200.6000000000004</v>
      </c>
      <c r="L217" s="11">
        <v>7.3388869014156644</v>
      </c>
    </row>
    <row r="218" spans="2:12" s="18" customFormat="1" ht="34.9" hidden="1" customHeight="1">
      <c r="B218" s="14">
        <v>41579</v>
      </c>
      <c r="C218" s="7">
        <v>7131.9</v>
      </c>
      <c r="D218" s="7">
        <v>-7.8494456934646077</v>
      </c>
      <c r="E218" s="7">
        <v>1280.8</v>
      </c>
      <c r="F218" s="7">
        <v>7.1082120755979306</v>
      </c>
      <c r="G218" s="7">
        <v>1236.8</v>
      </c>
      <c r="H218" s="7">
        <v>7.3517923791337703</v>
      </c>
      <c r="I218" s="7">
        <v>4707.3</v>
      </c>
      <c r="J218" s="7">
        <v>43.93652152641878</v>
      </c>
      <c r="K218" s="7">
        <v>4276.6000000000004</v>
      </c>
      <c r="L218" s="7">
        <v>1.8092653430462402</v>
      </c>
    </row>
    <row r="219" spans="2:12" s="18" customFormat="1" ht="34.9" hidden="1" customHeight="1">
      <c r="B219" s="15">
        <v>41609</v>
      </c>
      <c r="C219" s="11">
        <v>8035.2</v>
      </c>
      <c r="D219" s="11">
        <v>12.66562907500106</v>
      </c>
      <c r="E219" s="11">
        <v>1214.0999999999999</v>
      </c>
      <c r="F219" s="11">
        <v>-5.2076826983135538</v>
      </c>
      <c r="G219" s="11">
        <v>1255.0999999999999</v>
      </c>
      <c r="H219" s="11">
        <v>1.4796248382923594</v>
      </c>
      <c r="I219" s="11">
        <v>3210.4</v>
      </c>
      <c r="J219" s="11">
        <v>-31.799545386952175</v>
      </c>
      <c r="K219" s="11">
        <v>4336.7</v>
      </c>
      <c r="L219" s="11">
        <v>1.4053219847542264</v>
      </c>
    </row>
    <row r="220" spans="2:12" s="18" customFormat="1" ht="34.9" hidden="1" customHeight="1">
      <c r="B220" s="3">
        <v>2014</v>
      </c>
      <c r="C220" s="96"/>
      <c r="D220" s="96"/>
      <c r="E220" s="93"/>
      <c r="F220" s="93"/>
      <c r="G220" s="93"/>
      <c r="H220" s="93"/>
      <c r="I220" s="93"/>
      <c r="J220" s="93"/>
      <c r="K220" s="93"/>
      <c r="L220" s="93"/>
    </row>
    <row r="221" spans="2:12" s="18" customFormat="1" ht="34.9" hidden="1" customHeight="1">
      <c r="B221" s="14">
        <v>41640</v>
      </c>
      <c r="C221" s="7">
        <v>9036.6</v>
      </c>
      <c r="D221" s="7">
        <v>12.462664277180409</v>
      </c>
      <c r="E221" s="7">
        <v>1300</v>
      </c>
      <c r="F221" s="7">
        <v>7.0751997364302932</v>
      </c>
      <c r="G221" s="7">
        <v>1270.5999999999999</v>
      </c>
      <c r="H221" s="7">
        <v>1.234961357660751</v>
      </c>
      <c r="I221" s="7">
        <v>3226.3</v>
      </c>
      <c r="J221" s="7">
        <v>0.49526538749064741</v>
      </c>
      <c r="K221" s="7">
        <v>4655</v>
      </c>
      <c r="L221" s="7">
        <v>7.3396822468697422</v>
      </c>
    </row>
    <row r="222" spans="2:12" s="18" customFormat="1" ht="34.9" hidden="1" customHeight="1">
      <c r="B222" s="15">
        <v>41671</v>
      </c>
      <c r="C222" s="11">
        <v>9033.7000000000007</v>
      </c>
      <c r="D222" s="11">
        <v>-3.2091715910842478E-2</v>
      </c>
      <c r="E222" s="11">
        <v>1293.0999999999999</v>
      </c>
      <c r="F222" s="11">
        <v>-0.53076923076923466</v>
      </c>
      <c r="G222" s="11">
        <v>1200.0999999999999</v>
      </c>
      <c r="H222" s="11">
        <v>-5.5485597355580012</v>
      </c>
      <c r="I222" s="11">
        <v>3028.5</v>
      </c>
      <c r="J222" s="11">
        <v>-6.1308619781173519</v>
      </c>
      <c r="K222" s="11">
        <v>4540.2</v>
      </c>
      <c r="L222" s="11">
        <v>-2.4661654135338384</v>
      </c>
    </row>
    <row r="223" spans="2:12" s="18" customFormat="1" ht="34.9" hidden="1" customHeight="1">
      <c r="B223" s="14">
        <v>41699</v>
      </c>
      <c r="C223" s="7">
        <v>8939.1</v>
      </c>
      <c r="D223" s="7">
        <v>-1.0471899664589279</v>
      </c>
      <c r="E223" s="7">
        <v>1300.8</v>
      </c>
      <c r="F223" s="7">
        <v>0.59546825458201003</v>
      </c>
      <c r="G223" s="7">
        <v>1205.2</v>
      </c>
      <c r="H223" s="7">
        <v>0.42496458628449307</v>
      </c>
      <c r="I223" s="7">
        <v>3065.8</v>
      </c>
      <c r="J223" s="7">
        <v>1.2316328215288053</v>
      </c>
      <c r="K223" s="7">
        <v>4528.2</v>
      </c>
      <c r="L223" s="7">
        <v>-0.26430553720100392</v>
      </c>
    </row>
    <row r="224" spans="2:12" s="18" customFormat="1" ht="34.9" hidden="1" customHeight="1">
      <c r="B224" s="15">
        <v>41730</v>
      </c>
      <c r="C224" s="11">
        <v>8970.6</v>
      </c>
      <c r="D224" s="11">
        <v>0.35238446823506742</v>
      </c>
      <c r="E224" s="11">
        <v>1290.0999999999999</v>
      </c>
      <c r="F224" s="11">
        <v>-0.8225707257072612</v>
      </c>
      <c r="G224" s="11">
        <v>1151.4000000000001</v>
      </c>
      <c r="H224" s="11">
        <v>-4.4639893793561143</v>
      </c>
      <c r="I224" s="11">
        <v>3175.7</v>
      </c>
      <c r="J224" s="11">
        <v>3.5847087220301166</v>
      </c>
      <c r="K224" s="11">
        <v>4540</v>
      </c>
      <c r="L224" s="11">
        <v>0.26058919659026625</v>
      </c>
    </row>
    <row r="225" spans="2:12" s="18" customFormat="1" ht="34.9" hidden="1" customHeight="1">
      <c r="B225" s="14">
        <v>41760</v>
      </c>
      <c r="C225" s="7">
        <v>9200.7198675276304</v>
      </c>
      <c r="D225" s="7">
        <v>2.5652672901213869</v>
      </c>
      <c r="E225" s="7">
        <v>1281.9057718632566</v>
      </c>
      <c r="F225" s="7">
        <v>-0.63516224608505256</v>
      </c>
      <c r="G225" s="7">
        <v>1153.6650548487607</v>
      </c>
      <c r="H225" s="7">
        <v>0.19672180378327297</v>
      </c>
      <c r="I225" s="7">
        <v>3056.3381207405191</v>
      </c>
      <c r="J225" s="7">
        <v>-3.7586006001662842</v>
      </c>
      <c r="K225" s="7">
        <v>4570.4206667257185</v>
      </c>
      <c r="L225" s="7">
        <v>0.67005873845193964</v>
      </c>
    </row>
    <row r="226" spans="2:12" s="18" customFormat="1" ht="34.9" hidden="1" customHeight="1">
      <c r="B226" s="15">
        <v>41791</v>
      </c>
      <c r="C226" s="11">
        <v>8862.8735316280108</v>
      </c>
      <c r="D226" s="11">
        <v>-3.6719554639631058</v>
      </c>
      <c r="E226" s="11">
        <v>1315.1981652764375</v>
      </c>
      <c r="F226" s="11">
        <v>2.5971014519101665</v>
      </c>
      <c r="G226" s="11">
        <v>1155.6991733856091</v>
      </c>
      <c r="H226" s="11">
        <v>0.17631794672978707</v>
      </c>
      <c r="I226" s="11">
        <v>3017.8644824342209</v>
      </c>
      <c r="J226" s="11">
        <v>-1.2588148557652556</v>
      </c>
      <c r="K226" s="11">
        <v>4458.0177413879337</v>
      </c>
      <c r="L226" s="11">
        <v>-2.4593562285440851</v>
      </c>
    </row>
    <row r="227" spans="2:12" s="18" customFormat="1" ht="34.9" hidden="1" customHeight="1">
      <c r="B227" s="14">
        <v>41821</v>
      </c>
      <c r="C227" s="7">
        <v>8797.8017325616784</v>
      </c>
      <c r="D227" s="7">
        <v>-0.73420656217328961</v>
      </c>
      <c r="E227" s="7">
        <v>1297.3646263895482</v>
      </c>
      <c r="F227" s="7">
        <v>-1.3559583154635013</v>
      </c>
      <c r="G227" s="7">
        <v>1157.3748881270974</v>
      </c>
      <c r="H227" s="7">
        <v>0.14499575495752204</v>
      </c>
      <c r="I227" s="7">
        <v>3123.4697836816226</v>
      </c>
      <c r="J227" s="7">
        <v>3.4993387497048944</v>
      </c>
      <c r="K227" s="7">
        <v>4475.8488066188693</v>
      </c>
      <c r="L227" s="7">
        <v>0.39997743986959211</v>
      </c>
    </row>
    <row r="228" spans="2:12" s="18" customFormat="1" ht="34.9" hidden="1" customHeight="1">
      <c r="B228" s="15">
        <v>41852</v>
      </c>
      <c r="C228" s="11">
        <v>8534.1220471424003</v>
      </c>
      <c r="D228" s="11">
        <v>-2.9971087486930892</v>
      </c>
      <c r="E228" s="11">
        <v>1307.164778992076</v>
      </c>
      <c r="F228" s="11">
        <v>0.75538922544857723</v>
      </c>
      <c r="G228" s="11">
        <v>1159.6304821168253</v>
      </c>
      <c r="H228" s="11">
        <v>0.19488879643638768</v>
      </c>
      <c r="I228" s="11">
        <v>2955.8764399543065</v>
      </c>
      <c r="J228" s="11">
        <v>-5.365614375490269</v>
      </c>
      <c r="K228" s="11">
        <v>4340.5347089401403</v>
      </c>
      <c r="L228" s="11">
        <v>-3.0232052851880797</v>
      </c>
    </row>
    <row r="229" spans="2:12" s="18" customFormat="1" ht="34.9" hidden="1" customHeight="1">
      <c r="B229" s="14">
        <v>41883</v>
      </c>
      <c r="C229" s="7">
        <v>8502.5</v>
      </c>
      <c r="D229" s="7">
        <v>-0.37053661721405673</v>
      </c>
      <c r="E229" s="7">
        <v>1284.7</v>
      </c>
      <c r="F229" s="7">
        <v>-1.7185881499498512</v>
      </c>
      <c r="G229" s="7">
        <v>1140.7</v>
      </c>
      <c r="H229" s="7">
        <v>-1.6324581328932442</v>
      </c>
      <c r="I229" s="7">
        <v>2866.1</v>
      </c>
      <c r="J229" s="7">
        <v>-3.0372189696702745</v>
      </c>
      <c r="K229" s="7">
        <v>4287.6000000000004</v>
      </c>
      <c r="L229" s="7">
        <v>-1.2195435007376187</v>
      </c>
    </row>
    <row r="230" spans="2:12" s="18" customFormat="1" ht="34.9" hidden="1" customHeight="1">
      <c r="B230" s="15">
        <v>41913</v>
      </c>
      <c r="C230" s="11">
        <v>8440</v>
      </c>
      <c r="D230" s="11">
        <v>-0.73507791825933033</v>
      </c>
      <c r="E230" s="11">
        <v>1319.6</v>
      </c>
      <c r="F230" s="11">
        <v>2.7165875301626841</v>
      </c>
      <c r="G230" s="11">
        <v>1154.2</v>
      </c>
      <c r="H230" s="11">
        <v>1.1834838257210434</v>
      </c>
      <c r="I230" s="11">
        <v>2809.2</v>
      </c>
      <c r="J230" s="11">
        <v>-1.9852761592407786</v>
      </c>
      <c r="K230" s="11">
        <v>4260.5</v>
      </c>
      <c r="L230" s="11">
        <v>-0.63205522903256872</v>
      </c>
    </row>
    <row r="231" spans="2:12" s="18" customFormat="1" ht="34.9" hidden="1" customHeight="1">
      <c r="B231" s="14">
        <v>41944</v>
      </c>
      <c r="C231" s="7">
        <v>8327.2000000000007</v>
      </c>
      <c r="D231" s="7">
        <v>-1.3364928909952556</v>
      </c>
      <c r="E231" s="7">
        <v>1320.9</v>
      </c>
      <c r="F231" s="7">
        <v>9.8514701424678996E-2</v>
      </c>
      <c r="G231" s="7">
        <v>1156.5999999999999</v>
      </c>
      <c r="H231" s="7">
        <v>0.20793623288857255</v>
      </c>
      <c r="I231" s="7">
        <v>2664.4</v>
      </c>
      <c r="J231" s="7">
        <v>-5.1544923821728483</v>
      </c>
      <c r="K231" s="7">
        <v>4178.7</v>
      </c>
      <c r="L231" s="7">
        <v>-1.9199624457223341</v>
      </c>
    </row>
    <row r="232" spans="2:12" s="18" customFormat="1" ht="34.9" hidden="1" customHeight="1">
      <c r="B232" s="15">
        <v>41974</v>
      </c>
      <c r="C232" s="11">
        <v>8373</v>
      </c>
      <c r="D232" s="11">
        <v>0.55000480353539771</v>
      </c>
      <c r="E232" s="11">
        <v>1337.7</v>
      </c>
      <c r="F232" s="11">
        <v>1.2718600953895098</v>
      </c>
      <c r="G232" s="11">
        <v>1211.2</v>
      </c>
      <c r="H232" s="11">
        <v>4.7207331834687949</v>
      </c>
      <c r="I232" s="11">
        <v>2691.3</v>
      </c>
      <c r="J232" s="11">
        <v>1.009608166941911</v>
      </c>
      <c r="K232" s="11">
        <v>4237.6000000000004</v>
      </c>
      <c r="L232" s="11">
        <v>1.4095292794409797</v>
      </c>
    </row>
    <row r="233" spans="2:12" s="18" customFormat="1" ht="34.9" hidden="1" customHeight="1">
      <c r="B233" s="3">
        <v>2015</v>
      </c>
      <c r="C233" s="96"/>
      <c r="D233" s="96"/>
      <c r="E233" s="93"/>
      <c r="F233" s="93"/>
      <c r="G233" s="93"/>
      <c r="H233" s="93"/>
      <c r="I233" s="93"/>
      <c r="J233" s="93"/>
      <c r="K233" s="93"/>
      <c r="L233" s="93"/>
    </row>
    <row r="234" spans="2:12" s="18" customFormat="1" ht="34.9" hidden="1" customHeight="1">
      <c r="B234" s="14">
        <v>42005</v>
      </c>
      <c r="C234" s="7">
        <v>8264.7999999999993</v>
      </c>
      <c r="D234" s="7">
        <v>-1.2922488952585742</v>
      </c>
      <c r="E234" s="7">
        <v>1354.7</v>
      </c>
      <c r="F234" s="7">
        <v>1.2708380055318935</v>
      </c>
      <c r="G234" s="7">
        <v>1182.2</v>
      </c>
      <c r="H234" s="7">
        <v>-2.3943196829590452</v>
      </c>
      <c r="I234" s="7">
        <v>2651.3</v>
      </c>
      <c r="J234" s="7">
        <v>-1.4862705755582795</v>
      </c>
      <c r="K234" s="7">
        <v>4173.3999999999996</v>
      </c>
      <c r="L234" s="7">
        <v>-1.5150084953747589</v>
      </c>
    </row>
    <row r="235" spans="2:12" s="18" customFormat="1" ht="34.9" hidden="1" customHeight="1">
      <c r="B235" s="15">
        <v>42036</v>
      </c>
      <c r="C235" s="11">
        <v>8317.7000000000007</v>
      </c>
      <c r="D235" s="11">
        <v>0.64006388539348258</v>
      </c>
      <c r="E235" s="11">
        <v>1359</v>
      </c>
      <c r="F235" s="11">
        <v>0.31741344947220362</v>
      </c>
      <c r="G235" s="11">
        <v>1188.7</v>
      </c>
      <c r="H235" s="11">
        <v>0.54982236508205329</v>
      </c>
      <c r="I235" s="11">
        <v>2618</v>
      </c>
      <c r="J235" s="11">
        <v>-1.2559876287104532</v>
      </c>
      <c r="K235" s="11">
        <v>4181.7</v>
      </c>
      <c r="L235" s="11">
        <v>0.19887861216274505</v>
      </c>
    </row>
    <row r="236" spans="2:12" s="18" customFormat="1" ht="34.9" hidden="1" customHeight="1">
      <c r="B236" s="14">
        <v>42064</v>
      </c>
      <c r="C236" s="7">
        <v>8042.4</v>
      </c>
      <c r="D236" s="7">
        <v>-3.3098092020630854</v>
      </c>
      <c r="E236" s="7">
        <v>1358.8</v>
      </c>
      <c r="F236" s="7">
        <v>-1.4716703458428348E-2</v>
      </c>
      <c r="G236" s="7">
        <v>1147.2</v>
      </c>
      <c r="H236" s="7">
        <v>-3.4912088836544175</v>
      </c>
      <c r="I236" s="7">
        <v>2477.3000000000002</v>
      </c>
      <c r="J236" s="7">
        <v>-5.3743315508021361</v>
      </c>
      <c r="K236" s="7">
        <v>4023.3</v>
      </c>
      <c r="L236" s="7">
        <v>-3.7879331372408287</v>
      </c>
    </row>
    <row r="237" spans="2:12" s="18" customFormat="1" ht="34.9" hidden="1" customHeight="1">
      <c r="B237" s="15">
        <v>42095</v>
      </c>
      <c r="C237" s="11">
        <v>7945.8</v>
      </c>
      <c r="D237" s="11">
        <v>-1.2011339898537643</v>
      </c>
      <c r="E237" s="11">
        <v>1377.8</v>
      </c>
      <c r="F237" s="11">
        <v>1.3982926111274718</v>
      </c>
      <c r="G237" s="11">
        <v>1079.9000000000001</v>
      </c>
      <c r="H237" s="11">
        <v>-5.8664574616457461</v>
      </c>
      <c r="I237" s="11">
        <v>2501.1999999999998</v>
      </c>
      <c r="J237" s="11">
        <v>0.96476002099057379</v>
      </c>
      <c r="K237" s="11">
        <v>3960.6</v>
      </c>
      <c r="L237" s="11">
        <v>-1.5584221907389506</v>
      </c>
    </row>
    <row r="238" spans="2:12" s="18" customFormat="1" ht="34.9" hidden="1" customHeight="1">
      <c r="B238" s="14">
        <v>42125</v>
      </c>
      <c r="C238" s="7">
        <v>8454.5</v>
      </c>
      <c r="D238" s="7">
        <v>6.402124392760955</v>
      </c>
      <c r="E238" s="7">
        <v>1357</v>
      </c>
      <c r="F238" s="7">
        <v>-1.5096530701117716</v>
      </c>
      <c r="G238" s="7">
        <v>1102.7</v>
      </c>
      <c r="H238" s="7">
        <v>2.1113066024631921</v>
      </c>
      <c r="I238" s="7">
        <v>2850.7</v>
      </c>
      <c r="J238" s="7">
        <v>13.973292819446659</v>
      </c>
      <c r="K238" s="7">
        <v>4249.8</v>
      </c>
      <c r="L238" s="7">
        <v>7.3019239509165335</v>
      </c>
    </row>
    <row r="239" spans="2:12" s="18" customFormat="1" ht="34.9" hidden="1" customHeight="1">
      <c r="B239" s="15">
        <v>42156</v>
      </c>
      <c r="C239" s="11">
        <v>8144.5</v>
      </c>
      <c r="D239" s="11">
        <v>-3.6666863800343008</v>
      </c>
      <c r="E239" s="11">
        <v>1344.6</v>
      </c>
      <c r="F239" s="11">
        <v>-0.91378039793663657</v>
      </c>
      <c r="G239" s="11">
        <v>1087.9000000000001</v>
      </c>
      <c r="H239" s="11">
        <v>-1.3421601523533111</v>
      </c>
      <c r="I239" s="11">
        <v>2829.4</v>
      </c>
      <c r="J239" s="11">
        <v>-0.74718490195390119</v>
      </c>
      <c r="K239" s="11">
        <v>4140.3</v>
      </c>
      <c r="L239" s="11">
        <v>-2.5765918396159826</v>
      </c>
    </row>
    <row r="240" spans="2:12" s="18" customFormat="1" ht="34.9" hidden="1" customHeight="1">
      <c r="B240" s="14">
        <v>42186</v>
      </c>
      <c r="C240" s="7">
        <v>8151.5</v>
      </c>
      <c r="D240" s="7">
        <v>8.5947571981082049E-2</v>
      </c>
      <c r="E240" s="7">
        <v>1377.9</v>
      </c>
      <c r="F240" s="7">
        <v>2.4765729585006779</v>
      </c>
      <c r="G240" s="7">
        <v>1075.9000000000001</v>
      </c>
      <c r="H240" s="7">
        <v>-1.1030425590587423</v>
      </c>
      <c r="I240" s="7">
        <v>2967.6</v>
      </c>
      <c r="J240" s="7">
        <v>4.8844277938785652</v>
      </c>
      <c r="K240" s="7">
        <v>4184.7</v>
      </c>
      <c r="L240" s="7">
        <v>1.072386058981234</v>
      </c>
    </row>
    <row r="241" spans="2:12" s="18" customFormat="1" ht="34.9" hidden="1" customHeight="1">
      <c r="B241" s="15">
        <v>42217</v>
      </c>
      <c r="C241" s="11">
        <v>8604.6</v>
      </c>
      <c r="D241" s="11">
        <v>5.5584861681899023</v>
      </c>
      <c r="E241" s="11">
        <v>1354.1</v>
      </c>
      <c r="F241" s="11">
        <v>-1.727266129617544</v>
      </c>
      <c r="G241" s="11">
        <v>997.7</v>
      </c>
      <c r="H241" s="11">
        <v>-7.2683334882424067</v>
      </c>
      <c r="I241" s="11">
        <v>2877.6</v>
      </c>
      <c r="J241" s="11">
        <v>-3.0327537403962768</v>
      </c>
      <c r="K241" s="11">
        <v>4234.8</v>
      </c>
      <c r="L241" s="11">
        <v>1.1972184385977469</v>
      </c>
    </row>
    <row r="242" spans="2:12" s="18" customFormat="1" ht="34.9" hidden="1" customHeight="1">
      <c r="B242" s="14">
        <v>42248</v>
      </c>
      <c r="C242" s="7">
        <v>8248.6</v>
      </c>
      <c r="D242" s="7">
        <v>-4.1373218975896631</v>
      </c>
      <c r="E242" s="7">
        <v>1364.4</v>
      </c>
      <c r="F242" s="7">
        <v>0.76065283213944124</v>
      </c>
      <c r="G242" s="7">
        <v>956.5</v>
      </c>
      <c r="H242" s="7">
        <v>-4.1294978450436055</v>
      </c>
      <c r="I242" s="7">
        <v>2739.3</v>
      </c>
      <c r="J242" s="7">
        <v>-4.8060884070058263</v>
      </c>
      <c r="K242" s="7">
        <v>4054.5</v>
      </c>
      <c r="L242" s="7">
        <v>-4.2575800510059603</v>
      </c>
    </row>
    <row r="243" spans="2:12" s="18" customFormat="1" ht="34.9" hidden="1" customHeight="1">
      <c r="B243" s="15">
        <v>42278</v>
      </c>
      <c r="C243" s="11">
        <v>8132.1</v>
      </c>
      <c r="D243" s="11">
        <v>-1.4123608854835989</v>
      </c>
      <c r="E243" s="11">
        <v>1357.1</v>
      </c>
      <c r="F243" s="11">
        <v>-0.53503371445324799</v>
      </c>
      <c r="G243" s="11">
        <v>982.8</v>
      </c>
      <c r="H243" s="11">
        <v>2.7496079456351241</v>
      </c>
      <c r="I243" s="11">
        <v>2713.2</v>
      </c>
      <c r="J243" s="11">
        <v>-0.95279816011391016</v>
      </c>
      <c r="K243" s="11">
        <v>4026.6</v>
      </c>
      <c r="L243" s="11">
        <v>-0.68812430632630983</v>
      </c>
    </row>
    <row r="244" spans="2:12" s="18" customFormat="1" ht="34.9" hidden="1" customHeight="1">
      <c r="B244" s="14">
        <v>42309</v>
      </c>
      <c r="C244" s="7">
        <v>8005.6</v>
      </c>
      <c r="D244" s="7">
        <v>-1.5555637535200062</v>
      </c>
      <c r="E244" s="7">
        <v>1349.6</v>
      </c>
      <c r="F244" s="7">
        <v>-0.55264903102203444</v>
      </c>
      <c r="G244" s="7">
        <v>973.6</v>
      </c>
      <c r="H244" s="7">
        <v>-0.93610093610092537</v>
      </c>
      <c r="I244" s="7">
        <v>2627.1</v>
      </c>
      <c r="J244" s="7">
        <v>-3.1733746130030882</v>
      </c>
      <c r="K244" s="7">
        <v>3952.4</v>
      </c>
      <c r="L244" s="7">
        <v>-1.8427457408235148</v>
      </c>
    </row>
    <row r="245" spans="2:12" s="18" customFormat="1" ht="34.9" hidden="1" customHeight="1">
      <c r="B245" s="15">
        <v>42339</v>
      </c>
      <c r="C245" s="11">
        <v>8463.7000000000007</v>
      </c>
      <c r="D245" s="11">
        <v>5.7222444288997698</v>
      </c>
      <c r="E245" s="11">
        <v>1369.6</v>
      </c>
      <c r="F245" s="11">
        <v>1.4819205690574933</v>
      </c>
      <c r="G245" s="11">
        <v>1141</v>
      </c>
      <c r="H245" s="11">
        <v>17.193919474116683</v>
      </c>
      <c r="I245" s="11">
        <v>2731.2</v>
      </c>
      <c r="J245" s="11">
        <v>3.9625442503140373</v>
      </c>
      <c r="K245" s="11">
        <v>4229.8999999999996</v>
      </c>
      <c r="L245" s="11">
        <v>7.0210505009614232</v>
      </c>
    </row>
    <row r="246" spans="2:12" s="18" customFormat="1" ht="34.9" hidden="1" customHeight="1">
      <c r="B246" s="3">
        <v>2016</v>
      </c>
      <c r="C246" s="96"/>
      <c r="D246" s="96"/>
      <c r="E246" s="93"/>
      <c r="F246" s="93"/>
      <c r="G246" s="93"/>
      <c r="H246" s="93"/>
      <c r="I246" s="93"/>
      <c r="J246" s="93"/>
      <c r="K246" s="93"/>
      <c r="L246" s="93"/>
    </row>
    <row r="247" spans="2:12" s="18" customFormat="1" ht="34.9" hidden="1" customHeight="1">
      <c r="B247" s="14">
        <v>42370</v>
      </c>
      <c r="C247" s="7">
        <v>8403.2000000000007</v>
      </c>
      <c r="D247" s="7">
        <v>-0.71481739664686073</v>
      </c>
      <c r="E247" s="7">
        <v>1378.2</v>
      </c>
      <c r="F247" s="7">
        <v>0.62792056074767455</v>
      </c>
      <c r="G247" s="7">
        <v>1067.4000000000001</v>
      </c>
      <c r="H247" s="7">
        <v>-6.4504820333041053</v>
      </c>
      <c r="I247" s="7">
        <v>2644.2</v>
      </c>
      <c r="J247" s="7">
        <v>-3.1854130052724083</v>
      </c>
      <c r="K247" s="7">
        <v>4133.2</v>
      </c>
      <c r="L247" s="7">
        <v>-2.2861060545166456</v>
      </c>
    </row>
    <row r="248" spans="2:12" s="18" customFormat="1" ht="34.9" hidden="1" customHeight="1">
      <c r="B248" s="15">
        <v>42401</v>
      </c>
      <c r="C248" s="11">
        <v>8323.1</v>
      </c>
      <c r="D248" s="11">
        <v>-0.95320830159939529</v>
      </c>
      <c r="E248" s="11">
        <v>1374.6</v>
      </c>
      <c r="F248" s="11">
        <v>-0.26121027427079557</v>
      </c>
      <c r="G248" s="11">
        <v>1031.2</v>
      </c>
      <c r="H248" s="11">
        <v>-3.3914183998501102</v>
      </c>
      <c r="I248" s="11">
        <v>2597.6999999999998</v>
      </c>
      <c r="J248" s="11">
        <v>-1.7585659178579571</v>
      </c>
      <c r="K248" s="11">
        <v>4069.2</v>
      </c>
      <c r="L248" s="11">
        <v>-1.5484370463563324</v>
      </c>
    </row>
    <row r="249" spans="2:12" s="18" customFormat="1" ht="34.9" hidden="1" customHeight="1">
      <c r="B249" s="14">
        <v>42430</v>
      </c>
      <c r="C249" s="7">
        <v>8297.4621790854289</v>
      </c>
      <c r="D249" s="7">
        <v>-0.30803211441134959</v>
      </c>
      <c r="E249" s="7">
        <v>1383.5873289449651</v>
      </c>
      <c r="F249" s="7">
        <v>0.65381412374254655</v>
      </c>
      <c r="G249" s="7">
        <v>1013.0943659811967</v>
      </c>
      <c r="H249" s="7">
        <v>-1.7557829731190244</v>
      </c>
      <c r="I249" s="7">
        <v>2686.8266798490486</v>
      </c>
      <c r="J249" s="7">
        <v>3.4309843264829887</v>
      </c>
      <c r="K249" s="7">
        <v>4081.4558339252544</v>
      </c>
      <c r="L249" s="7">
        <v>0.30118534171961198</v>
      </c>
    </row>
    <row r="250" spans="2:12" s="18" customFormat="1" ht="34.9" hidden="1" customHeight="1">
      <c r="B250" s="15">
        <v>42461</v>
      </c>
      <c r="C250" s="11">
        <v>8119</v>
      </c>
      <c r="D250" s="11">
        <v>-2.1508043692595624</v>
      </c>
      <c r="E250" s="11">
        <v>1396.1</v>
      </c>
      <c r="F250" s="11">
        <v>0.90436438620582482</v>
      </c>
      <c r="G250" s="11">
        <v>960.2</v>
      </c>
      <c r="H250" s="11">
        <v>-5.2210699967685343</v>
      </c>
      <c r="I250" s="11">
        <v>2540.6</v>
      </c>
      <c r="J250" s="11">
        <v>-5.4423562541542125</v>
      </c>
      <c r="K250" s="11">
        <v>3942.1</v>
      </c>
      <c r="L250" s="11">
        <v>-3.4143658438472446</v>
      </c>
    </row>
    <row r="251" spans="2:12" s="18" customFormat="1" ht="34.9" hidden="1" customHeight="1">
      <c r="B251" s="14">
        <v>42491</v>
      </c>
      <c r="C251" s="7">
        <v>8304.8474175866504</v>
      </c>
      <c r="D251" s="7">
        <v>2.2890432022004026</v>
      </c>
      <c r="E251" s="7">
        <v>1426.4037476356702</v>
      </c>
      <c r="F251" s="7">
        <v>2.1706000741831044</v>
      </c>
      <c r="G251" s="7">
        <v>974.15872013436228</v>
      </c>
      <c r="H251" s="7">
        <v>1.4537304868113221</v>
      </c>
      <c r="I251" s="7">
        <v>2533.3907191449075</v>
      </c>
      <c r="J251" s="7">
        <v>-0.2837629243128581</v>
      </c>
      <c r="K251" s="7">
        <v>4004.2218092824683</v>
      </c>
      <c r="L251" s="7">
        <v>1.5758557439554677</v>
      </c>
    </row>
    <row r="252" spans="2:12" s="18" customFormat="1" ht="34.9" hidden="1" customHeight="1">
      <c r="B252" s="15">
        <v>42522</v>
      </c>
      <c r="C252" s="11">
        <v>8160.7499067013896</v>
      </c>
      <c r="D252" s="11">
        <v>-1.7351012443662106</v>
      </c>
      <c r="E252" s="11">
        <v>1407.4977041074651</v>
      </c>
      <c r="F252" s="11">
        <v>-1.3254342299326427</v>
      </c>
      <c r="G252" s="11">
        <v>967.63103179470465</v>
      </c>
      <c r="H252" s="11">
        <v>-0.67008467970777197</v>
      </c>
      <c r="I252" s="11">
        <v>2501.5228831644213</v>
      </c>
      <c r="J252" s="11">
        <v>-1.2579123993650132</v>
      </c>
      <c r="K252" s="11">
        <v>3946.0772244626132</v>
      </c>
      <c r="L252" s="11">
        <v>-1.4520820171616378</v>
      </c>
    </row>
    <row r="253" spans="2:12" s="18" customFormat="1" ht="34.9" hidden="1" customHeight="1">
      <c r="B253" s="14">
        <v>42552</v>
      </c>
      <c r="C253" s="7">
        <v>8222.255209095154</v>
      </c>
      <c r="D253" s="7">
        <v>0.75367218818036541</v>
      </c>
      <c r="E253" s="7">
        <v>1392.078884179306</v>
      </c>
      <c r="F253" s="7">
        <v>-1.0954774478965534</v>
      </c>
      <c r="G253" s="7">
        <v>975.00759692748636</v>
      </c>
      <c r="H253" s="7">
        <v>0.76233242738197315</v>
      </c>
      <c r="I253" s="7">
        <v>2485.9330071750342</v>
      </c>
      <c r="J253" s="7">
        <v>-0.62321540587572111</v>
      </c>
      <c r="K253" s="7">
        <v>3963.1885075681234</v>
      </c>
      <c r="L253" s="7">
        <v>0.433627679646853</v>
      </c>
    </row>
    <row r="254" spans="2:12" s="18" customFormat="1" ht="34.9" hidden="1" customHeight="1">
      <c r="B254" s="15">
        <v>42583</v>
      </c>
      <c r="C254" s="11">
        <v>8235.204085978241</v>
      </c>
      <c r="D254" s="11">
        <v>0.15748570865039557</v>
      </c>
      <c r="E254" s="11">
        <v>1404.6023588717617</v>
      </c>
      <c r="F254" s="11">
        <v>0.89962392467715091</v>
      </c>
      <c r="G254" s="11">
        <v>947.27985079293853</v>
      </c>
      <c r="H254" s="11">
        <v>-2.8438492399367465</v>
      </c>
      <c r="I254" s="11">
        <v>2369.1123806353653</v>
      </c>
      <c r="J254" s="11">
        <v>-4.6992668829970441</v>
      </c>
      <c r="K254" s="11">
        <v>3908.6341160779129</v>
      </c>
      <c r="L254" s="11">
        <v>-1.3765277979090107</v>
      </c>
    </row>
    <row r="255" spans="2:12" s="18" customFormat="1" ht="34.9" hidden="1" customHeight="1">
      <c r="B255" s="14">
        <v>42614</v>
      </c>
      <c r="C255" s="7">
        <v>8298.4599829044164</v>
      </c>
      <c r="D255" s="7">
        <v>0.76811571717911864</v>
      </c>
      <c r="E255" s="7">
        <v>1419.7619914543518</v>
      </c>
      <c r="F255" s="7">
        <v>1.079282865135367</v>
      </c>
      <c r="G255" s="7">
        <v>967.60246560672806</v>
      </c>
      <c r="H255" s="7">
        <v>2.1453654690087642</v>
      </c>
      <c r="I255" s="7">
        <v>2369.1442905523804</v>
      </c>
      <c r="J255" s="7">
        <v>1.3469144509947739E-3</v>
      </c>
      <c r="K255" s="7">
        <v>3941.124899663454</v>
      </c>
      <c r="L255" s="7">
        <v>0.8312567157896078</v>
      </c>
    </row>
    <row r="256" spans="2:12" s="18" customFormat="1" ht="34.9" hidden="1" customHeight="1">
      <c r="B256" s="15">
        <v>42644</v>
      </c>
      <c r="C256" s="11">
        <v>8269.1583440259001</v>
      </c>
      <c r="D256" s="11">
        <v>-0.35309730888478663</v>
      </c>
      <c r="E256" s="11">
        <v>1414.1601131244163</v>
      </c>
      <c r="F256" s="11">
        <v>-0.39456460756476242</v>
      </c>
      <c r="G256" s="11">
        <v>961.71522996213662</v>
      </c>
      <c r="H256" s="11">
        <v>-0.6084353702943357</v>
      </c>
      <c r="I256" s="11">
        <v>2337.9968577457635</v>
      </c>
      <c r="J256" s="11">
        <v>-1.3147123596830346</v>
      </c>
      <c r="K256" s="11">
        <v>3918.1028467618744</v>
      </c>
      <c r="L256" s="11">
        <v>-0.58414928447321213</v>
      </c>
    </row>
    <row r="257" spans="2:12" s="18" customFormat="1" ht="34.9" hidden="1" customHeight="1">
      <c r="B257" s="14">
        <v>42675</v>
      </c>
      <c r="C257" s="7">
        <v>8330.1661690049714</v>
      </c>
      <c r="D257" s="7">
        <v>0.73777550798923563</v>
      </c>
      <c r="E257" s="7">
        <v>1394.9088656588983</v>
      </c>
      <c r="F257" s="7">
        <v>-1.3613202130969948</v>
      </c>
      <c r="G257" s="7">
        <v>1002.6508974557102</v>
      </c>
      <c r="H257" s="7">
        <v>4.2565269029986252</v>
      </c>
      <c r="I257" s="7">
        <v>2561.7263061142385</v>
      </c>
      <c r="J257" s="7">
        <v>9.5692792583215613</v>
      </c>
      <c r="K257" s="7">
        <v>4037.7686834351034</v>
      </c>
      <c r="L257" s="7">
        <v>3.0541780385404449</v>
      </c>
    </row>
    <row r="258" spans="2:12" s="18" customFormat="1" ht="34.9" hidden="1" customHeight="1">
      <c r="B258" s="15">
        <v>42705</v>
      </c>
      <c r="C258" s="11">
        <v>8444.4586464647746</v>
      </c>
      <c r="D258" s="11">
        <v>1.3720311833041787</v>
      </c>
      <c r="E258" s="11">
        <v>1385.4375279846693</v>
      </c>
      <c r="F258" s="11">
        <v>-0.67899329536164066</v>
      </c>
      <c r="G258" s="11">
        <v>954.49598590808739</v>
      </c>
      <c r="H258" s="11">
        <v>-4.8027595317391985</v>
      </c>
      <c r="I258" s="11">
        <v>2648.6565739859716</v>
      </c>
      <c r="J258" s="11">
        <v>3.3934252720226654</v>
      </c>
      <c r="K258" s="11">
        <v>4069.7225241496649</v>
      </c>
      <c r="L258" s="11">
        <v>0.79137373187452287</v>
      </c>
    </row>
    <row r="259" spans="2:12" s="18" customFormat="1" ht="34.9" hidden="1" customHeight="1">
      <c r="B259" s="3">
        <v>2017</v>
      </c>
      <c r="C259" s="96"/>
      <c r="D259" s="96"/>
      <c r="E259" s="93"/>
      <c r="F259" s="93"/>
      <c r="G259" s="93"/>
      <c r="H259" s="93"/>
      <c r="I259" s="93"/>
      <c r="J259" s="93"/>
      <c r="K259" s="93"/>
      <c r="L259" s="93"/>
    </row>
    <row r="260" spans="2:12" s="18" customFormat="1" ht="34.9" hidden="1" customHeight="1">
      <c r="B260" s="14">
        <v>42736</v>
      </c>
      <c r="C260" s="7">
        <v>8728.8423776102118</v>
      </c>
      <c r="D260" s="7">
        <v>3.3676964155007427</v>
      </c>
      <c r="E260" s="7">
        <v>1341.1701378755174</v>
      </c>
      <c r="F260" s="7">
        <v>-3.1951920757874563</v>
      </c>
      <c r="G260" s="7">
        <v>952.70016550034904</v>
      </c>
      <c r="H260" s="7">
        <v>-0.18814331691817676</v>
      </c>
      <c r="I260" s="7">
        <v>2479.6726107232694</v>
      </c>
      <c r="J260" s="7">
        <v>-6.3799876859232718</v>
      </c>
      <c r="K260" s="7">
        <v>4093.8836805856299</v>
      </c>
      <c r="L260" s="7">
        <v>0.59368068197753754</v>
      </c>
    </row>
    <row r="261" spans="2:12" s="18" customFormat="1" ht="34.9" hidden="1" customHeight="1">
      <c r="B261" s="15">
        <v>42767</v>
      </c>
      <c r="C261" s="11">
        <v>8955.9947290673281</v>
      </c>
      <c r="D261" s="11">
        <v>2.6023193183069671</v>
      </c>
      <c r="E261" s="11">
        <v>1359.6473477972559</v>
      </c>
      <c r="F261" s="11">
        <v>1.3776932098270134</v>
      </c>
      <c r="G261" s="11">
        <v>969.75503373111337</v>
      </c>
      <c r="H261" s="11">
        <v>1.790161149159375</v>
      </c>
      <c r="I261" s="11">
        <v>2505.6806751688928</v>
      </c>
      <c r="J261" s="11">
        <v>1.0488507367122812</v>
      </c>
      <c r="K261" s="11">
        <v>4182.5777995164044</v>
      </c>
      <c r="L261" s="11">
        <v>2.1665031508195431</v>
      </c>
    </row>
    <row r="262" spans="2:12" s="18" customFormat="1" ht="34.9" hidden="1" customHeight="1">
      <c r="B262" s="14">
        <v>42795</v>
      </c>
      <c r="C262" s="7">
        <v>9177.9016596533074</v>
      </c>
      <c r="D262" s="7">
        <v>2.4777474451359804</v>
      </c>
      <c r="E262" s="7">
        <v>1355.2757367260435</v>
      </c>
      <c r="F262" s="7">
        <v>-0.32152536305055657</v>
      </c>
      <c r="G262" s="7">
        <v>1004.7740440993265</v>
      </c>
      <c r="H262" s="7">
        <v>3.6111192156928817</v>
      </c>
      <c r="I262" s="7">
        <v>2626.3871816314522</v>
      </c>
      <c r="J262" s="7">
        <v>4.8173140200485909</v>
      </c>
      <c r="K262" s="7">
        <v>4312.4957010889129</v>
      </c>
      <c r="L262" s="7">
        <v>3.1061682005659286</v>
      </c>
    </row>
    <row r="263" spans="2:12" s="18" customFormat="1" ht="34.9" hidden="1" customHeight="1">
      <c r="B263" s="15">
        <v>42826</v>
      </c>
      <c r="C263" s="11">
        <v>8642.6619940848741</v>
      </c>
      <c r="D263" s="11">
        <v>-5.8318304708077644</v>
      </c>
      <c r="E263" s="11">
        <v>1330.5542056739723</v>
      </c>
      <c r="F263" s="11">
        <v>-1.8240960405438433</v>
      </c>
      <c r="G263" s="11">
        <v>980.36956048003844</v>
      </c>
      <c r="H263" s="11">
        <v>-2.4288529110208179</v>
      </c>
      <c r="I263" s="11">
        <v>2694.3643498186398</v>
      </c>
      <c r="J263" s="11">
        <v>2.5882386520391654</v>
      </c>
      <c r="K263" s="11">
        <v>4159.8403589130785</v>
      </c>
      <c r="L263" s="11">
        <v>-3.5398375501519586</v>
      </c>
    </row>
    <row r="264" spans="2:12" s="18" customFormat="1" ht="34.9" hidden="1" customHeight="1">
      <c r="B264" s="14">
        <v>42856</v>
      </c>
      <c r="C264" s="7">
        <v>8563.753213004773</v>
      </c>
      <c r="D264" s="7">
        <v>-0.91301477639768036</v>
      </c>
      <c r="E264" s="7">
        <v>1310.0655944895302</v>
      </c>
      <c r="F264" s="7">
        <v>-1.5398554299457468</v>
      </c>
      <c r="G264" s="7">
        <v>957.75235868465336</v>
      </c>
      <c r="H264" s="7">
        <v>-2.3070077557600377</v>
      </c>
      <c r="I264" s="7">
        <v>2734.779005620052</v>
      </c>
      <c r="J264" s="7">
        <v>1.4999699578170489</v>
      </c>
      <c r="K264" s="7">
        <v>4133.9665302061876</v>
      </c>
      <c r="L264" s="7">
        <v>-0.62199090528683998</v>
      </c>
    </row>
    <row r="265" spans="2:12" s="18" customFormat="1" ht="34.9" hidden="1" customHeight="1">
      <c r="B265" s="15">
        <v>42887</v>
      </c>
      <c r="C265" s="11">
        <v>8498.2537049915645</v>
      </c>
      <c r="D265" s="11">
        <v>-0.76484581449336453</v>
      </c>
      <c r="E265" s="11">
        <v>1303.5138742130666</v>
      </c>
      <c r="F265" s="11">
        <v>-0.50010627742776981</v>
      </c>
      <c r="G265" s="11">
        <v>952.3405037513669</v>
      </c>
      <c r="H265" s="11">
        <v>-0.5650578549050933</v>
      </c>
      <c r="I265" s="11">
        <v>2709.7079394141224</v>
      </c>
      <c r="J265" s="11">
        <v>-0.91674925668244756</v>
      </c>
      <c r="K265" s="11">
        <v>4102.8116264333739</v>
      </c>
      <c r="L265" s="11">
        <v>-0.75363222089899207</v>
      </c>
    </row>
    <row r="266" spans="2:12" s="18" customFormat="1" ht="34.9" hidden="1" customHeight="1">
      <c r="B266" s="14">
        <v>42917</v>
      </c>
      <c r="C266" s="7">
        <v>8467.9782010343606</v>
      </c>
      <c r="D266" s="7">
        <v>-0.35625559095066039</v>
      </c>
      <c r="E266" s="7">
        <v>1290.0775840586591</v>
      </c>
      <c r="F266" s="7">
        <v>-1.0307746177630084</v>
      </c>
      <c r="G266" s="7">
        <v>946.39764825239433</v>
      </c>
      <c r="H266" s="7">
        <v>-0.62402633045250955</v>
      </c>
      <c r="I266" s="7">
        <v>2671.0709552993476</v>
      </c>
      <c r="J266" s="7">
        <v>-1.4258726393638121</v>
      </c>
      <c r="K266" s="7">
        <v>4076.1095550048826</v>
      </c>
      <c r="L266" s="7">
        <v>-0.65082372430790292</v>
      </c>
    </row>
    <row r="267" spans="2:12" s="18" customFormat="1" ht="34.9" hidden="1" customHeight="1">
      <c r="B267" s="15">
        <v>42948</v>
      </c>
      <c r="C267" s="11">
        <v>8417.5828776927829</v>
      </c>
      <c r="D267" s="11">
        <v>-0.59512816572226956</v>
      </c>
      <c r="E267" s="11">
        <v>1280.6592350990709</v>
      </c>
      <c r="F267" s="11">
        <v>-0.73006066270506764</v>
      </c>
      <c r="G267" s="11">
        <v>942.81397143611798</v>
      </c>
      <c r="H267" s="11">
        <v>-0.37866501706697031</v>
      </c>
      <c r="I267" s="11">
        <v>2684.6431158264818</v>
      </c>
      <c r="J267" s="11">
        <v>0.50811680985887175</v>
      </c>
      <c r="K267" s="11">
        <v>4063.7829294791618</v>
      </c>
      <c r="L267" s="11">
        <v>-0.30241153627937889</v>
      </c>
    </row>
    <row r="268" spans="2:12" s="18" customFormat="1" ht="34.9" hidden="1" customHeight="1">
      <c r="B268" s="14">
        <v>42979</v>
      </c>
      <c r="C268" s="7">
        <v>8294.9010197343996</v>
      </c>
      <c r="D268" s="7">
        <v>-1.4574475801539144</v>
      </c>
      <c r="E268" s="7">
        <v>1269.1201345888601</v>
      </c>
      <c r="F268" s="7">
        <v>-0.90102817314382522</v>
      </c>
      <c r="G268" s="7">
        <v>940.29943046552899</v>
      </c>
      <c r="H268" s="7">
        <v>-0.26670595120252827</v>
      </c>
      <c r="I268" s="7">
        <v>2637.2214710365902</v>
      </c>
      <c r="J268" s="7">
        <v>-1.7664040523796998</v>
      </c>
      <c r="K268" s="7">
        <v>4009.7496993037598</v>
      </c>
      <c r="L268" s="7">
        <v>-1.3296288486138952</v>
      </c>
    </row>
    <row r="269" spans="2:12" s="18" customFormat="1" ht="34.9" hidden="1" customHeight="1">
      <c r="B269" s="15">
        <v>43009</v>
      </c>
      <c r="C269" s="11">
        <v>8128.7038769999999</v>
      </c>
      <c r="D269" s="11">
        <v>-2.0036060989636839</v>
      </c>
      <c r="E269" s="11">
        <v>1251.5397089999999</v>
      </c>
      <c r="F269" s="11">
        <v>-1.3852451875689065</v>
      </c>
      <c r="G269" s="11">
        <v>933.11833460000003</v>
      </c>
      <c r="H269" s="11">
        <v>-0.7637030963608793</v>
      </c>
      <c r="I269" s="11">
        <v>2557.7685329999999</v>
      </c>
      <c r="J269" s="11">
        <v>-3.0127518264653097</v>
      </c>
      <c r="K269" s="11">
        <v>3927.8924769999999</v>
      </c>
      <c r="L269" s="11">
        <v>-2.0414546653117371</v>
      </c>
    </row>
    <row r="270" spans="2:12" s="18" customFormat="1" ht="34.9" hidden="1" customHeight="1">
      <c r="B270" s="14">
        <v>43040</v>
      </c>
      <c r="C270" s="7">
        <v>8190.1399842296014</v>
      </c>
      <c r="D270" s="7">
        <v>0.75579216759800172</v>
      </c>
      <c r="E270" s="7">
        <v>1255.0149622540505</v>
      </c>
      <c r="F270" s="7">
        <v>0.27767822539386255</v>
      </c>
      <c r="G270" s="7">
        <v>931.57234871583216</v>
      </c>
      <c r="H270" s="7">
        <v>-0.16567950996596581</v>
      </c>
      <c r="I270" s="7">
        <v>2611.4343007971152</v>
      </c>
      <c r="J270" s="7">
        <v>2.0981479404694525</v>
      </c>
      <c r="K270" s="7">
        <v>3963.8085350522733</v>
      </c>
      <c r="L270" s="7">
        <v>0.91438495993925173</v>
      </c>
    </row>
    <row r="271" spans="2:12" s="18" customFormat="1" ht="34.9" hidden="1" customHeight="1">
      <c r="B271" s="15">
        <v>43070</v>
      </c>
      <c r="C271" s="11">
        <v>8335.2075633321838</v>
      </c>
      <c r="D271" s="11">
        <v>1.7712466378097869</v>
      </c>
      <c r="E271" s="11">
        <v>1261.2365307485024</v>
      </c>
      <c r="F271" s="11">
        <v>0.49573659928945357</v>
      </c>
      <c r="G271" s="11">
        <v>933.72517301051164</v>
      </c>
      <c r="H271" s="11">
        <v>0.23109577024771344</v>
      </c>
      <c r="I271" s="11">
        <v>2615.8493709279396</v>
      </c>
      <c r="J271" s="11">
        <v>0.16906686603130883</v>
      </c>
      <c r="K271" s="11">
        <v>4009.4376736046602</v>
      </c>
      <c r="L271" s="11">
        <v>1.1511438594696166</v>
      </c>
    </row>
    <row r="272" spans="2:12" s="18" customFormat="1" ht="34.9" hidden="1" customHeight="1">
      <c r="B272" s="3">
        <v>2018</v>
      </c>
      <c r="C272" s="96"/>
      <c r="D272" s="96"/>
      <c r="E272" s="93"/>
      <c r="F272" s="93"/>
      <c r="G272" s="93"/>
      <c r="H272" s="93"/>
      <c r="I272" s="93"/>
      <c r="J272" s="93"/>
      <c r="K272" s="93"/>
      <c r="L272" s="93"/>
    </row>
    <row r="273" spans="2:12" s="18" customFormat="1" ht="34.9" hidden="1" customHeight="1">
      <c r="B273" s="14">
        <v>43101</v>
      </c>
      <c r="C273" s="7">
        <v>8496.6939658575502</v>
      </c>
      <c r="D273" s="7">
        <v>1.9374010940743647</v>
      </c>
      <c r="E273" s="7">
        <v>1243.9094153859453</v>
      </c>
      <c r="F273" s="7">
        <v>-1.3738196555624693</v>
      </c>
      <c r="G273" s="7">
        <v>962.7956654818737</v>
      </c>
      <c r="H273" s="7">
        <v>3.113388533548167</v>
      </c>
      <c r="I273" s="7">
        <v>2731.9154303776309</v>
      </c>
      <c r="J273" s="7">
        <v>4.4370314567661051</v>
      </c>
      <c r="K273" s="7">
        <v>4115.7891162300193</v>
      </c>
      <c r="L273" s="7">
        <v>2.6525276431032419</v>
      </c>
    </row>
    <row r="274" spans="2:12" s="18" customFormat="1" ht="34.9" hidden="1" customHeight="1">
      <c r="B274" s="15">
        <v>43132</v>
      </c>
      <c r="C274" s="11">
        <v>9009.7420283760439</v>
      </c>
      <c r="D274" s="11">
        <v>6.0382080910538427</v>
      </c>
      <c r="E274" s="11">
        <v>1238.5060191958958</v>
      </c>
      <c r="F274" s="11">
        <v>-0.43438823785838521</v>
      </c>
      <c r="G274" s="11">
        <v>969.70455360625078</v>
      </c>
      <c r="H274" s="11">
        <v>0.71758612674259759</v>
      </c>
      <c r="I274" s="11">
        <v>2702.5551075794187</v>
      </c>
      <c r="J274" s="11">
        <v>-1.0747156545088843</v>
      </c>
      <c r="K274" s="11">
        <v>4262.294746466363</v>
      </c>
      <c r="L274" s="11">
        <v>3.5596000207741341</v>
      </c>
    </row>
    <row r="275" spans="2:12" s="18" customFormat="1" ht="34.9" hidden="1" customHeight="1">
      <c r="B275" s="14">
        <v>43160</v>
      </c>
      <c r="C275" s="7">
        <v>9065.5221036002495</v>
      </c>
      <c r="D275" s="7">
        <v>0.61910846113604201</v>
      </c>
      <c r="E275" s="7">
        <v>1247.5875085472935</v>
      </c>
      <c r="F275" s="7">
        <v>0.73326162413760443</v>
      </c>
      <c r="G275" s="7">
        <v>979.46009780599604</v>
      </c>
      <c r="H275" s="7">
        <v>1.006032627511666</v>
      </c>
      <c r="I275" s="7">
        <v>2718.3291177826304</v>
      </c>
      <c r="J275" s="7">
        <v>0.58367025186545352</v>
      </c>
      <c r="K275" s="7">
        <v>4290.8443973125259</v>
      </c>
      <c r="L275" s="7">
        <v>0.66981878411462858</v>
      </c>
    </row>
    <row r="276" spans="2:12" s="18" customFormat="1" ht="34.9" hidden="1" customHeight="1">
      <c r="B276" s="15">
        <v>43191</v>
      </c>
      <c r="C276" s="11">
        <v>9614.042404511305</v>
      </c>
      <c r="D276" s="11">
        <v>6.0506200816963229</v>
      </c>
      <c r="E276" s="11">
        <v>1221.776666140333</v>
      </c>
      <c r="F276" s="11">
        <v>-2.0688602787483079</v>
      </c>
      <c r="G276" s="11">
        <v>936.09390444821634</v>
      </c>
      <c r="H276" s="11">
        <v>-4.4275610057949883</v>
      </c>
      <c r="I276" s="11">
        <v>2586.7220470580251</v>
      </c>
      <c r="J276" s="11">
        <v>-4.8414693373096229</v>
      </c>
      <c r="K276" s="11">
        <v>4376.5096653853798</v>
      </c>
      <c r="L276" s="11">
        <v>1.9964664327261294</v>
      </c>
    </row>
    <row r="277" spans="2:12" s="18" customFormat="1" ht="34.9" hidden="1" customHeight="1">
      <c r="B277" s="14">
        <v>43221</v>
      </c>
      <c r="C277" s="7">
        <v>8885.1</v>
      </c>
      <c r="D277" s="7">
        <v>-7.5820593860627783</v>
      </c>
      <c r="E277" s="7">
        <v>1259.5</v>
      </c>
      <c r="F277" s="7">
        <v>3.0875801531582203</v>
      </c>
      <c r="G277" s="7">
        <v>907.4</v>
      </c>
      <c r="H277" s="7">
        <v>-3.0652805569896358</v>
      </c>
      <c r="I277" s="7">
        <v>2583.9</v>
      </c>
      <c r="J277" s="7">
        <v>-0.10909742162806824</v>
      </c>
      <c r="K277" s="7">
        <v>4143.8</v>
      </c>
      <c r="L277" s="7">
        <v>-5.3172432640997691</v>
      </c>
    </row>
    <row r="278" spans="2:12" s="18" customFormat="1" ht="34.9" hidden="1" customHeight="1">
      <c r="B278" s="15">
        <v>43252</v>
      </c>
      <c r="C278" s="11">
        <v>8817.0422217221785</v>
      </c>
      <c r="D278" s="11">
        <v>-0.76597650310994414</v>
      </c>
      <c r="E278" s="11">
        <v>1411.71774848068</v>
      </c>
      <c r="F278" s="11">
        <v>12.085569549875341</v>
      </c>
      <c r="G278" s="11">
        <v>880.77263328214599</v>
      </c>
      <c r="H278" s="11">
        <v>-2.9344684502814578</v>
      </c>
      <c r="I278" s="11">
        <v>2461.6689191091646</v>
      </c>
      <c r="J278" s="11">
        <v>-4.73048805645867</v>
      </c>
      <c r="K278" s="11">
        <v>4073.7748766122149</v>
      </c>
      <c r="L278" s="11">
        <v>-1.6898770063175195</v>
      </c>
    </row>
    <row r="279" spans="2:12" s="18" customFormat="1" ht="34.9" hidden="1" customHeight="1">
      <c r="B279" s="14">
        <v>43282</v>
      </c>
      <c r="C279" s="7">
        <v>8607.535214253905</v>
      </c>
      <c r="D279" s="7">
        <v>-2.3761597392844447</v>
      </c>
      <c r="E279" s="7">
        <v>1416.8236139546223</v>
      </c>
      <c r="F279" s="7">
        <v>0.36167750100453144</v>
      </c>
      <c r="G279" s="7">
        <v>845.40468452682887</v>
      </c>
      <c r="H279" s="7">
        <v>-4.0155594552842349</v>
      </c>
      <c r="I279" s="7">
        <v>2428.2842969045191</v>
      </c>
      <c r="J279" s="7">
        <v>-1.35617840179445</v>
      </c>
      <c r="K279" s="7">
        <v>3976.2299280899283</v>
      </c>
      <c r="L279" s="7">
        <v>-2.3944609478127488</v>
      </c>
    </row>
    <row r="280" spans="2:12" s="18" customFormat="1" ht="34.9" hidden="1" customHeight="1">
      <c r="B280" s="15">
        <v>43313</v>
      </c>
      <c r="C280" s="11">
        <v>8516.2819182322673</v>
      </c>
      <c r="D280" s="11">
        <v>-1.0601559418603856</v>
      </c>
      <c r="E280" s="11">
        <v>1416.2628541626864</v>
      </c>
      <c r="F280" s="11">
        <v>-3.9578659362593527E-2</v>
      </c>
      <c r="G280" s="11">
        <v>839.79863587249611</v>
      </c>
      <c r="H280" s="11">
        <v>-0.66312013133337233</v>
      </c>
      <c r="I280" s="11">
        <v>2360.2371358008513</v>
      </c>
      <c r="J280" s="11">
        <v>-2.8022732424869523</v>
      </c>
      <c r="K280" s="11">
        <v>3922.4844253854039</v>
      </c>
      <c r="L280" s="11">
        <v>-1.3516698902355073</v>
      </c>
    </row>
    <row r="281" spans="2:12" s="18" customFormat="1" ht="34.9" hidden="1" customHeight="1">
      <c r="B281" s="14">
        <v>43344</v>
      </c>
      <c r="C281" s="7">
        <v>8359.0994314388499</v>
      </c>
      <c r="D281" s="7">
        <v>-1.8456703089749782</v>
      </c>
      <c r="E281" s="7">
        <v>1416.4376659196867</v>
      </c>
      <c r="F281" s="7">
        <v>1.2343171783868456E-2</v>
      </c>
      <c r="G281" s="7">
        <v>843.59489561944713</v>
      </c>
      <c r="H281" s="7">
        <v>0.4520440477980614</v>
      </c>
      <c r="I281" s="7">
        <v>2432.9165918990152</v>
      </c>
      <c r="J281" s="7">
        <v>3.0793285554124195</v>
      </c>
      <c r="K281" s="7">
        <v>3904.2956276216196</v>
      </c>
      <c r="L281" s="7">
        <v>-0.46370605440956281</v>
      </c>
    </row>
    <row r="282" spans="2:12" s="18" customFormat="1" ht="34.9" hidden="1" customHeight="1">
      <c r="B282" s="15">
        <v>43374</v>
      </c>
      <c r="C282" s="11">
        <v>8049.291925964043</v>
      </c>
      <c r="D282" s="11">
        <v>-3.7062306533836686</v>
      </c>
      <c r="E282" s="11">
        <v>1425.9189445821125</v>
      </c>
      <c r="F282" s="11">
        <v>0.66937493195435849</v>
      </c>
      <c r="G282" s="11">
        <v>852.67582242691492</v>
      </c>
      <c r="H282" s="11">
        <v>1.0764558740957941</v>
      </c>
      <c r="I282" s="11">
        <v>2527.4223352254326</v>
      </c>
      <c r="J282" s="11">
        <v>3.8844629380677231</v>
      </c>
      <c r="K282" s="11">
        <v>3850.6890320859193</v>
      </c>
      <c r="L282" s="11">
        <v>-1.3730157920535335</v>
      </c>
    </row>
    <row r="283" spans="2:12" s="18" customFormat="1" ht="34.9" hidden="1" customHeight="1">
      <c r="B283" s="14">
        <v>43405</v>
      </c>
      <c r="C283" s="7">
        <v>7975.3701196648453</v>
      </c>
      <c r="D283" s="7">
        <v>-0.91836408691742255</v>
      </c>
      <c r="E283" s="7">
        <v>1373.6605121473615</v>
      </c>
      <c r="F283" s="7">
        <v>-3.6648950231926491</v>
      </c>
      <c r="G283" s="7">
        <v>801.91935202133482</v>
      </c>
      <c r="H283" s="7">
        <v>-5.9526104846171606</v>
      </c>
      <c r="I283" s="7">
        <v>2265.8938579778969</v>
      </c>
      <c r="J283" s="7">
        <v>-10.347636546632355</v>
      </c>
      <c r="K283" s="7">
        <v>3704.3971343179355</v>
      </c>
      <c r="L283" s="7">
        <v>-3.7991096281471792</v>
      </c>
    </row>
    <row r="284" spans="2:12" s="18" customFormat="1" ht="34.9" hidden="1" customHeight="1">
      <c r="B284" s="15">
        <v>43435</v>
      </c>
      <c r="C284" s="11">
        <v>8245.9753973740189</v>
      </c>
      <c r="D284" s="11">
        <v>3.3930121567893545</v>
      </c>
      <c r="E284" s="11">
        <v>1376.5080733196182</v>
      </c>
      <c r="F284" s="11">
        <v>0.20729730141295644</v>
      </c>
      <c r="G284" s="11">
        <v>796.81909851759804</v>
      </c>
      <c r="H284" s="11">
        <v>-0.63600578922069495</v>
      </c>
      <c r="I284" s="11">
        <v>2311.3684513671355</v>
      </c>
      <c r="J284" s="11">
        <v>2.0069163093906051</v>
      </c>
      <c r="K284" s="11">
        <v>3797.0892427555327</v>
      </c>
      <c r="L284" s="11">
        <v>2.5022184467990094</v>
      </c>
    </row>
    <row r="285" spans="2:12" s="18" customFormat="1" ht="34.9" hidden="1" customHeight="1">
      <c r="B285" s="3">
        <v>2019</v>
      </c>
      <c r="C285" s="96"/>
      <c r="D285" s="96"/>
      <c r="E285" s="93"/>
      <c r="F285" s="93"/>
      <c r="G285" s="93"/>
      <c r="H285" s="93"/>
      <c r="I285" s="93"/>
      <c r="J285" s="93"/>
      <c r="K285" s="93"/>
      <c r="L285" s="93"/>
    </row>
    <row r="286" spans="2:12" s="18" customFormat="1" ht="34.9" hidden="1" customHeight="1">
      <c r="B286" s="14">
        <v>43466</v>
      </c>
      <c r="C286" s="7">
        <v>8264.7776111039693</v>
      </c>
      <c r="D286" s="7">
        <v>0.22801685457294329</v>
      </c>
      <c r="E286" s="7">
        <v>1350.9324935312952</v>
      </c>
      <c r="F286" s="7">
        <v>-1.8580043433123028</v>
      </c>
      <c r="G286" s="7">
        <v>825.0700691125129</v>
      </c>
      <c r="H286" s="7">
        <v>3.5454685571007172</v>
      </c>
      <c r="I286" s="7">
        <v>2461.98659463578</v>
      </c>
      <c r="J286" s="7">
        <v>6.5164056029040518</v>
      </c>
      <c r="K286" s="7">
        <v>3872.5014738028494</v>
      </c>
      <c r="L286" s="7">
        <v>1.9860536907631454</v>
      </c>
    </row>
    <row r="287" spans="2:12" s="18" customFormat="1" ht="34.9" hidden="1" customHeight="1">
      <c r="B287" s="15">
        <v>43497</v>
      </c>
      <c r="C287" s="11">
        <v>8386.9225816264297</v>
      </c>
      <c r="D287" s="11">
        <v>1.4778978487981931</v>
      </c>
      <c r="E287" s="11">
        <v>1375.4980070123124</v>
      </c>
      <c r="F287" s="11">
        <v>1.8184116229822633</v>
      </c>
      <c r="G287" s="11">
        <v>824.07754405004505</v>
      </c>
      <c r="H287" s="11">
        <v>-0.12029585117969699</v>
      </c>
      <c r="I287" s="11">
        <v>2495.1314431163191</v>
      </c>
      <c r="J287" s="11">
        <v>1.3462643766117832</v>
      </c>
      <c r="K287" s="11">
        <v>3920.0845609626963</v>
      </c>
      <c r="L287" s="11">
        <v>1.2287429064066879</v>
      </c>
    </row>
    <row r="288" spans="2:12" s="18" customFormat="1" ht="34.9" hidden="1" customHeight="1">
      <c r="B288" s="14">
        <v>43525</v>
      </c>
      <c r="C288" s="7">
        <v>7943.7517123986554</v>
      </c>
      <c r="D288" s="7">
        <v>-5.2840701093228919</v>
      </c>
      <c r="E288" s="7">
        <v>1350.1173739025037</v>
      </c>
      <c r="F288" s="7">
        <v>-1.8451959203443336</v>
      </c>
      <c r="G288" s="7">
        <v>784.67235011479556</v>
      </c>
      <c r="H288" s="7">
        <v>-4.781733736073801</v>
      </c>
      <c r="I288" s="7">
        <v>2400.5864053585915</v>
      </c>
      <c r="J288" s="7">
        <v>-3.7891806469179334</v>
      </c>
      <c r="K288" s="7">
        <v>3729.50581647835</v>
      </c>
      <c r="L288" s="7">
        <v>-4.8615977926135372</v>
      </c>
    </row>
    <row r="289" spans="2:12" s="18" customFormat="1" ht="34.9" hidden="1" customHeight="1">
      <c r="B289" s="15">
        <v>43556</v>
      </c>
      <c r="C289" s="11">
        <v>7418.6962211280043</v>
      </c>
      <c r="D289" s="11">
        <v>-6.6096664432643504</v>
      </c>
      <c r="E289" s="11">
        <v>1334.0360266152918</v>
      </c>
      <c r="F289" s="11">
        <v>-1.1911073509652592</v>
      </c>
      <c r="G289" s="11">
        <v>731.17962978299386</v>
      </c>
      <c r="H289" s="11">
        <v>-6.8172047000223497</v>
      </c>
      <c r="I289" s="11">
        <v>2305.5845921837704</v>
      </c>
      <c r="J289" s="11">
        <v>-3.9574419384679538</v>
      </c>
      <c r="K289" s="11">
        <v>3503.669542552203</v>
      </c>
      <c r="L289" s="11">
        <v>-6.0553940666433048</v>
      </c>
    </row>
    <row r="290" spans="2:12" s="18" customFormat="1" ht="34.9" hidden="1" customHeight="1">
      <c r="B290" s="14">
        <v>43586</v>
      </c>
      <c r="C290" s="7">
        <v>7389.9705137332448</v>
      </c>
      <c r="D290" s="7">
        <v>-0.38720695036615904</v>
      </c>
      <c r="E290" s="7">
        <v>1316.2238358292097</v>
      </c>
      <c r="F290" s="7">
        <v>-1.3352106263033292</v>
      </c>
      <c r="G290" s="7">
        <v>733.71840470367761</v>
      </c>
      <c r="H290" s="7">
        <v>0.34721630872529552</v>
      </c>
      <c r="I290" s="7">
        <v>2317.2402778351106</v>
      </c>
      <c r="J290" s="7">
        <v>0.50554144449328486</v>
      </c>
      <c r="K290" s="7">
        <v>3500.8361173141088</v>
      </c>
      <c r="L290" s="7">
        <v>-8.0870219171136348E-2</v>
      </c>
    </row>
    <row r="291" spans="2:12" s="18" customFormat="1" ht="34.9" hidden="1" customHeight="1">
      <c r="B291" s="15">
        <v>43617</v>
      </c>
      <c r="C291" s="11">
        <v>7692.1850301981176</v>
      </c>
      <c r="D291" s="11">
        <v>4.0895226293968134</v>
      </c>
      <c r="E291" s="11">
        <v>1315.7216498347555</v>
      </c>
      <c r="F291" s="11">
        <v>-3.8153540513718998E-2</v>
      </c>
      <c r="G291" s="11">
        <v>752.70567558141545</v>
      </c>
      <c r="H291" s="11">
        <v>2.5878144470706133</v>
      </c>
      <c r="I291" s="11">
        <v>2423.2456549297976</v>
      </c>
      <c r="J291" s="11">
        <v>4.5746389836501145</v>
      </c>
      <c r="K291" s="11">
        <v>3640.0660541921275</v>
      </c>
      <c r="L291" s="11">
        <v>3.9770481168606597</v>
      </c>
    </row>
    <row r="292" spans="2:12" s="18" customFormat="1" ht="34.9" hidden="1" customHeight="1">
      <c r="B292" s="14">
        <v>43647</v>
      </c>
      <c r="C292" s="7">
        <v>7474.2424327202616</v>
      </c>
      <c r="D292" s="7">
        <v>-2.8332989472074965</v>
      </c>
      <c r="E292" s="7">
        <v>1310.3723522322439</v>
      </c>
      <c r="F292" s="7">
        <v>-0.40656757477415262</v>
      </c>
      <c r="G292" s="7">
        <v>768.00545086053023</v>
      </c>
      <c r="H292" s="7">
        <v>2.03263716157005</v>
      </c>
      <c r="I292" s="7">
        <v>2579.2068937953354</v>
      </c>
      <c r="J292" s="7">
        <v>6.4360473957006281</v>
      </c>
      <c r="K292" s="7">
        <v>3638.96280736886</v>
      </c>
      <c r="L292" s="7">
        <v>-3.0308428661529607E-2</v>
      </c>
    </row>
    <row r="293" spans="2:12" s="18" customFormat="1" ht="34.9" hidden="1" customHeight="1">
      <c r="B293" s="15">
        <v>43678</v>
      </c>
      <c r="C293" s="11">
        <v>7276.4283919666414</v>
      </c>
      <c r="D293" s="11">
        <v>-2.6466099077498861</v>
      </c>
      <c r="E293" s="11">
        <v>1332.5583268808223</v>
      </c>
      <c r="F293" s="11">
        <v>1.6931046057850896</v>
      </c>
      <c r="G293" s="11">
        <v>753.7914040465439</v>
      </c>
      <c r="H293" s="11">
        <v>-1.8507742097481072</v>
      </c>
      <c r="I293" s="11">
        <v>2478.0559586372246</v>
      </c>
      <c r="J293" s="11">
        <v>-3.9217844602325025</v>
      </c>
      <c r="K293" s="11">
        <v>3535.678976435574</v>
      </c>
      <c r="L293" s="11">
        <v>-2.8382766299270057</v>
      </c>
    </row>
    <row r="294" spans="2:12" s="18" customFormat="1" ht="34.9" hidden="1" customHeight="1">
      <c r="B294" s="14">
        <v>43709</v>
      </c>
      <c r="C294" s="7">
        <v>7188.0011518476058</v>
      </c>
      <c r="D294" s="7">
        <v>-1.21525610307196</v>
      </c>
      <c r="E294" s="7">
        <v>1310.2426263929317</v>
      </c>
      <c r="F294" s="7">
        <v>-1.6746509355523576</v>
      </c>
      <c r="G294" s="7">
        <v>746.3251838521835</v>
      </c>
      <c r="H294" s="7">
        <v>-0.99048890107791276</v>
      </c>
      <c r="I294" s="7">
        <v>2542.4649915111959</v>
      </c>
      <c r="J294" s="7">
        <v>2.5991758842036861</v>
      </c>
      <c r="K294" s="7">
        <v>3525.7073021270189</v>
      </c>
      <c r="L294" s="7">
        <v>-0.28202996864290508</v>
      </c>
    </row>
    <row r="295" spans="2:12" s="18" customFormat="1" ht="34.9" hidden="1" customHeight="1">
      <c r="B295" s="15">
        <v>43739</v>
      </c>
      <c r="C295" s="11">
        <v>6989.8002997797312</v>
      </c>
      <c r="D295" s="11">
        <v>-2.7573848122844136</v>
      </c>
      <c r="E295" s="11">
        <v>1301.3850701471431</v>
      </c>
      <c r="F295" s="11">
        <v>-0.67602412464424777</v>
      </c>
      <c r="G295" s="11">
        <v>739.32043824933044</v>
      </c>
      <c r="H295" s="11">
        <v>-0.93856481791192437</v>
      </c>
      <c r="I295" s="11">
        <v>2532.3103163071278</v>
      </c>
      <c r="J295" s="11">
        <v>-0.39940275433378858</v>
      </c>
      <c r="K295" s="11">
        <v>3458.0429231201274</v>
      </c>
      <c r="L295" s="11">
        <v>-1.919171763523031</v>
      </c>
    </row>
    <row r="296" spans="2:12" s="18" customFormat="1" ht="34.9" hidden="1" customHeight="1">
      <c r="B296" s="14">
        <v>43770</v>
      </c>
      <c r="C296" s="7">
        <v>7019.5419434898658</v>
      </c>
      <c r="D296" s="7">
        <v>0.42550062139932177</v>
      </c>
      <c r="E296" s="7">
        <v>1316.0067075412271</v>
      </c>
      <c r="F296" s="7">
        <v>1.1235442706001519</v>
      </c>
      <c r="G296" s="7">
        <v>730.47138967421449</v>
      </c>
      <c r="H296" s="7">
        <v>-1.1969165354159594</v>
      </c>
      <c r="I296" s="7">
        <v>2589.1732181435013</v>
      </c>
      <c r="J296" s="7">
        <v>2.2454950118158123</v>
      </c>
      <c r="K296" s="7">
        <v>3479.5040942610772</v>
      </c>
      <c r="L296" s="7">
        <v>0.62061610043826487</v>
      </c>
    </row>
    <row r="297" spans="2:12" s="18" customFormat="1" ht="34.9" hidden="1" customHeight="1">
      <c r="B297" s="15">
        <v>43800</v>
      </c>
      <c r="C297" s="11">
        <v>7095.6458588667792</v>
      </c>
      <c r="D297" s="11">
        <v>1.0841721011083161</v>
      </c>
      <c r="E297" s="11">
        <v>1282.5082787281942</v>
      </c>
      <c r="F297" s="11">
        <v>-2.5454603400631548</v>
      </c>
      <c r="G297" s="11">
        <v>735.73319286472645</v>
      </c>
      <c r="H297" s="11">
        <v>0.72032981235017335</v>
      </c>
      <c r="I297" s="11">
        <v>2613.1626543063044</v>
      </c>
      <c r="J297" s="11">
        <v>0.92652882374566481</v>
      </c>
      <c r="K297" s="11">
        <v>3513.7610656378256</v>
      </c>
      <c r="L297" s="11">
        <v>0.98453602722439193</v>
      </c>
    </row>
    <row r="298" spans="2:12" s="18" customFormat="1" ht="34.9" hidden="1" customHeight="1">
      <c r="B298" s="3">
        <v>2020</v>
      </c>
      <c r="C298" s="96"/>
      <c r="D298" s="96"/>
      <c r="E298" s="93"/>
      <c r="F298" s="93"/>
      <c r="G298" s="93"/>
      <c r="H298" s="93"/>
      <c r="I298" s="93"/>
      <c r="J298" s="93"/>
      <c r="K298" s="93"/>
      <c r="L298" s="93"/>
    </row>
    <row r="299" spans="2:12" s="18" customFormat="1" ht="34.9" hidden="1" customHeight="1">
      <c r="B299" s="14">
        <v>43831</v>
      </c>
      <c r="C299" s="7">
        <v>7205.9891184406224</v>
      </c>
      <c r="D299" s="7">
        <v>1.5550840863338466</v>
      </c>
      <c r="E299" s="7">
        <v>1339.8106122118836</v>
      </c>
      <c r="F299" s="7">
        <v>4.4679893638202017</v>
      </c>
      <c r="G299" s="7">
        <v>744.76869821774483</v>
      </c>
      <c r="H299" s="7">
        <v>1.2280953803153638</v>
      </c>
      <c r="I299" s="7">
        <v>2689.2551650773316</v>
      </c>
      <c r="J299" s="7">
        <v>2.9118933965182947</v>
      </c>
      <c r="K299" s="7">
        <v>3580.9684597199434</v>
      </c>
      <c r="L299" s="7">
        <v>1.912691068819683</v>
      </c>
    </row>
    <row r="300" spans="2:12" s="18" customFormat="1" ht="34.9" hidden="1" customHeight="1">
      <c r="B300" s="15">
        <v>43862</v>
      </c>
      <c r="C300" s="11">
        <v>6831.9871047225542</v>
      </c>
      <c r="D300" s="11">
        <v>-5.1901551275031927</v>
      </c>
      <c r="E300" s="11">
        <v>1340.2180006368721</v>
      </c>
      <c r="F300" s="11">
        <v>3.0406418733752716E-2</v>
      </c>
      <c r="G300" s="11">
        <v>747.09321044917692</v>
      </c>
      <c r="H300" s="11">
        <v>0.31211196670788421</v>
      </c>
      <c r="I300" s="11">
        <v>2610.8175887517191</v>
      </c>
      <c r="J300" s="11">
        <v>-2.9167026373771776</v>
      </c>
      <c r="K300" s="11">
        <v>3446.8297814242355</v>
      </c>
      <c r="L300" s="11">
        <v>-3.7458771224753717</v>
      </c>
    </row>
    <row r="301" spans="2:12" s="18" customFormat="1" ht="34.9" hidden="1" customHeight="1">
      <c r="B301" s="14" t="s">
        <v>129</v>
      </c>
      <c r="C301" s="7">
        <v>5884.4226510904709</v>
      </c>
      <c r="D301" s="7">
        <v>-13.869529305421068</v>
      </c>
      <c r="E301" s="7">
        <v>1316.601349316895</v>
      </c>
      <c r="F301" s="7">
        <v>-1.7621499867002566</v>
      </c>
      <c r="G301" s="7">
        <v>705.68048566806078</v>
      </c>
      <c r="H301" s="7">
        <v>-5.5431804494940451</v>
      </c>
      <c r="I301" s="7">
        <v>2424.9299685605242</v>
      </c>
      <c r="J301" s="7">
        <v>-7.1199007158547323</v>
      </c>
      <c r="K301" s="7">
        <v>3077.6237839366254</v>
      </c>
      <c r="L301" s="7">
        <v>-10.711465923769914</v>
      </c>
    </row>
    <row r="302" spans="2:12" s="18" customFormat="1" ht="34.9" hidden="1" customHeight="1">
      <c r="B302" s="15">
        <v>43952</v>
      </c>
      <c r="C302" s="11">
        <v>5738.623418661894</v>
      </c>
      <c r="D302" s="11">
        <v>-2.4777151655066443</v>
      </c>
      <c r="E302" s="11">
        <v>1335.9557397432463</v>
      </c>
      <c r="F302" s="11">
        <v>1.4700266285153862</v>
      </c>
      <c r="G302" s="11">
        <v>683.51231034120815</v>
      </c>
      <c r="H302" s="11">
        <v>-3.1413898750319302</v>
      </c>
      <c r="I302" s="11">
        <v>2401.1256069613851</v>
      </c>
      <c r="J302" s="11">
        <v>-0.98165150778641852</v>
      </c>
      <c r="K302" s="11">
        <v>3012.3964199328498</v>
      </c>
      <c r="L302" s="11">
        <v>-2.1194066781074383</v>
      </c>
    </row>
    <row r="303" spans="2:12" s="18" customFormat="1" ht="34.9" hidden="1" customHeight="1">
      <c r="B303" s="14">
        <v>43983</v>
      </c>
      <c r="C303" s="7">
        <v>5622.13</v>
      </c>
      <c r="D303" s="7">
        <v>-2.0299889043609243</v>
      </c>
      <c r="E303" s="7">
        <v>1324.21</v>
      </c>
      <c r="F303" s="7">
        <v>-0.87920126347177385</v>
      </c>
      <c r="G303" s="7">
        <v>668.9</v>
      </c>
      <c r="H303" s="7">
        <v>-2.1378269447574039</v>
      </c>
      <c r="I303" s="7">
        <v>2306.9899999999998</v>
      </c>
      <c r="J303" s="7">
        <v>-3.9204782410576788</v>
      </c>
      <c r="K303" s="7">
        <v>2935.18</v>
      </c>
      <c r="L303" s="7">
        <v>-2.5632887963188855</v>
      </c>
    </row>
    <row r="304" spans="2:12" s="18" customFormat="1" ht="34.9" hidden="1" customHeight="1">
      <c r="B304" s="15">
        <v>44013</v>
      </c>
      <c r="C304" s="11">
        <v>5453.4900411089393</v>
      </c>
      <c r="D304" s="11">
        <v>-2.9995741630140293</v>
      </c>
      <c r="E304" s="11">
        <v>1303.1175700723145</v>
      </c>
      <c r="F304" s="11">
        <v>-1.5928311920077265</v>
      </c>
      <c r="G304" s="11">
        <v>673.47306502463687</v>
      </c>
      <c r="H304" s="11">
        <v>0.68366946100117953</v>
      </c>
      <c r="I304" s="11">
        <v>2314.8602159703064</v>
      </c>
      <c r="J304" s="11">
        <v>0.34114651430248166</v>
      </c>
      <c r="K304" s="11">
        <v>2892.1861122584055</v>
      </c>
      <c r="L304" s="11">
        <v>-1.4647785737704089</v>
      </c>
    </row>
    <row r="305" spans="2:12" s="18" customFormat="1" ht="34.9" hidden="1" customHeight="1">
      <c r="B305" s="14">
        <v>44044</v>
      </c>
      <c r="C305" s="7">
        <v>5371.4151316050875</v>
      </c>
      <c r="D305" s="7">
        <v>-1.5049978799844377</v>
      </c>
      <c r="E305" s="7">
        <v>1291.8666148331208</v>
      </c>
      <c r="F305" s="7">
        <v>-0.86338757895569884</v>
      </c>
      <c r="G305" s="7">
        <v>661.2898558600001</v>
      </c>
      <c r="H305" s="7">
        <v>-1.8090120893240247</v>
      </c>
      <c r="I305" s="7">
        <v>2373.7745918397018</v>
      </c>
      <c r="J305" s="7">
        <v>2.5450511207088411</v>
      </c>
      <c r="K305" s="7">
        <v>2879.7515856657174</v>
      </c>
      <c r="L305" s="7">
        <v>-0.42993521544083535</v>
      </c>
    </row>
    <row r="306" spans="2:12" s="18" customFormat="1" ht="34.9" hidden="1" customHeight="1">
      <c r="B306" s="15">
        <v>44075</v>
      </c>
      <c r="C306" s="11">
        <v>5450.7143166321603</v>
      </c>
      <c r="D306" s="11">
        <v>1.4763183087540765</v>
      </c>
      <c r="E306" s="11">
        <v>1292.4496432258645</v>
      </c>
      <c r="F306" s="11">
        <v>4.513069585121432E-2</v>
      </c>
      <c r="G306" s="11">
        <v>670.5847419084522</v>
      </c>
      <c r="H306" s="11">
        <v>1.4055691261684711</v>
      </c>
      <c r="I306" s="11">
        <v>2400.0751665194434</v>
      </c>
      <c r="J306" s="11">
        <v>1.1079642848210947</v>
      </c>
      <c r="K306" s="11">
        <v>2918.5151012759993</v>
      </c>
      <c r="L306" s="11">
        <v>1.3460715085020336</v>
      </c>
    </row>
    <row r="307" spans="2:12" s="18" customFormat="1" ht="34.9" hidden="1" customHeight="1">
      <c r="B307" s="14">
        <v>44105</v>
      </c>
      <c r="C307" s="7">
        <v>5218.9304830439978</v>
      </c>
      <c r="D307" s="7">
        <v>-4.2523570329287548</v>
      </c>
      <c r="E307" s="7">
        <v>1283.4977978722304</v>
      </c>
      <c r="F307" s="7">
        <v>-0.69262623890636865</v>
      </c>
      <c r="G307" s="7">
        <v>664.85784403318269</v>
      </c>
      <c r="H307" s="7">
        <v>-0.85401553560121579</v>
      </c>
      <c r="I307" s="7">
        <v>2503.0226920743889</v>
      </c>
      <c r="J307" s="7">
        <v>4.2893458917888205</v>
      </c>
      <c r="K307" s="7">
        <v>2869.5435737430107</v>
      </c>
      <c r="L307" s="7">
        <v>-1.677960395393463</v>
      </c>
    </row>
    <row r="308" spans="2:12" s="18" customFormat="1" ht="34.9" hidden="1" customHeight="1">
      <c r="B308" s="15">
        <v>44136</v>
      </c>
      <c r="C308" s="11">
        <v>5238.265940794322</v>
      </c>
      <c r="D308" s="11">
        <v>0.3704869764627805</v>
      </c>
      <c r="E308" s="11">
        <v>1299.0041423936693</v>
      </c>
      <c r="F308" s="11">
        <v>1.208131758943809</v>
      </c>
      <c r="G308" s="11">
        <v>678.48233878066424</v>
      </c>
      <c r="H308" s="11">
        <v>2.0492342640995531</v>
      </c>
      <c r="I308" s="11">
        <v>2544.6554476466895</v>
      </c>
      <c r="J308" s="11">
        <v>1.6632991664089714</v>
      </c>
      <c r="K308" s="11">
        <v>2898.7889812805938</v>
      </c>
      <c r="L308" s="11">
        <v>1.0191658285026772</v>
      </c>
    </row>
    <row r="309" spans="2:12" s="18" customFormat="1" ht="34.9" hidden="1" customHeight="1">
      <c r="B309" s="14">
        <v>44166</v>
      </c>
      <c r="C309" s="7">
        <v>5410.6412094494262</v>
      </c>
      <c r="D309" s="7">
        <v>3.2906933440070008</v>
      </c>
      <c r="E309" s="7">
        <v>1309.1805290632385</v>
      </c>
      <c r="F309" s="7">
        <v>0.78339909300191302</v>
      </c>
      <c r="G309" s="7">
        <v>704.24351651232905</v>
      </c>
      <c r="H309" s="7">
        <v>3.7968825803132322</v>
      </c>
      <c r="I309" s="7">
        <v>2818.0249936027922</v>
      </c>
      <c r="J309" s="7">
        <v>10.742890406200821</v>
      </c>
      <c r="K309" s="7">
        <v>3049.574583213036</v>
      </c>
      <c r="L309" s="7">
        <v>5.2016756965120647</v>
      </c>
    </row>
    <row r="310" spans="2:12" s="18" customFormat="1" ht="34.9" hidden="1" customHeight="1">
      <c r="B310" s="3">
        <v>2021</v>
      </c>
      <c r="C310" s="96"/>
      <c r="D310" s="96"/>
      <c r="E310" s="93"/>
      <c r="F310" s="93"/>
      <c r="G310" s="93"/>
      <c r="H310" s="93"/>
      <c r="I310" s="93"/>
      <c r="J310" s="93"/>
      <c r="K310" s="93"/>
      <c r="L310" s="93"/>
    </row>
    <row r="311" spans="2:12" s="18" customFormat="1" ht="34.9" hidden="1" customHeight="1">
      <c r="B311" s="14">
        <v>44197</v>
      </c>
      <c r="C311" s="7">
        <v>5600.7398843444134</v>
      </c>
      <c r="D311" s="7">
        <v>3.5134223012789789</v>
      </c>
      <c r="E311" s="7">
        <v>1281.7541166423971</v>
      </c>
      <c r="F311" s="7">
        <v>-2.0949297527718236</v>
      </c>
      <c r="G311" s="7">
        <v>731.07270709834688</v>
      </c>
      <c r="H311" s="7">
        <v>3.8096467992897898</v>
      </c>
      <c r="I311" s="7">
        <v>2956.7521108554411</v>
      </c>
      <c r="J311" s="7">
        <v>4.9228490722251772</v>
      </c>
      <c r="K311" s="7">
        <v>3168.041853299655</v>
      </c>
      <c r="L311" s="7">
        <v>3.8847146332719573</v>
      </c>
    </row>
    <row r="312" spans="2:12" s="18" customFormat="1" ht="34.9" hidden="1" customHeight="1">
      <c r="B312" s="15">
        <v>44228</v>
      </c>
      <c r="C312" s="11">
        <v>5519.1420995137187</v>
      </c>
      <c r="D312" s="11">
        <v>-1.4569108102803097</v>
      </c>
      <c r="E312" s="11">
        <v>1272.7818202458764</v>
      </c>
      <c r="F312" s="11">
        <v>-0.70000137155977749</v>
      </c>
      <c r="G312" s="11">
        <v>721.91875681590977</v>
      </c>
      <c r="H312" s="11">
        <v>-1.2521258410493119</v>
      </c>
      <c r="I312" s="11">
        <v>3318.4215807597529</v>
      </c>
      <c r="J312" s="11">
        <v>12.231984838244504</v>
      </c>
      <c r="K312" s="11">
        <v>3237.5054106388475</v>
      </c>
      <c r="L312" s="11">
        <v>2.1926338273227985</v>
      </c>
    </row>
    <row r="313" spans="2:12" s="18" customFormat="1" ht="34.9" hidden="1" customHeight="1">
      <c r="B313" s="14">
        <v>44256</v>
      </c>
      <c r="C313" s="7">
        <v>5393.3236078204745</v>
      </c>
      <c r="D313" s="7">
        <v>-2.2796748013487411</v>
      </c>
      <c r="E313" s="7">
        <v>1271.560412823359</v>
      </c>
      <c r="F313" s="7">
        <v>-9.5963613173022377E-2</v>
      </c>
      <c r="G313" s="7">
        <v>719.04742092938523</v>
      </c>
      <c r="H313" s="7">
        <v>-0.39773670643894476</v>
      </c>
      <c r="I313" s="7">
        <v>3614.4524614974971</v>
      </c>
      <c r="J313" s="7">
        <v>8.9208340029529367</v>
      </c>
      <c r="K313" s="7">
        <v>3279.3622466540669</v>
      </c>
      <c r="L313" s="7">
        <v>1.2928730830123802</v>
      </c>
    </row>
    <row r="314" spans="2:12" s="18" customFormat="1" ht="34.9" hidden="1" customHeight="1">
      <c r="B314" s="15">
        <v>44287</v>
      </c>
      <c r="C314" s="11">
        <v>5441.9722654575889</v>
      </c>
      <c r="D314" s="11">
        <v>0.90201629226498437</v>
      </c>
      <c r="E314" s="11">
        <v>1253.8868252842365</v>
      </c>
      <c r="F314" s="11">
        <v>-1.389913319169811</v>
      </c>
      <c r="G314" s="11">
        <v>709.26768575368737</v>
      </c>
      <c r="H314" s="11">
        <v>-1.3600959952067337</v>
      </c>
      <c r="I314" s="11">
        <v>3589.8975424010487</v>
      </c>
      <c r="J314" s="11">
        <v>-0.67935377095194038</v>
      </c>
      <c r="K314" s="11">
        <v>3280.9803328930961</v>
      </c>
      <c r="L314" s="11">
        <v>4.9341491342724808E-2</v>
      </c>
    </row>
    <row r="315" spans="2:12" s="18" customFormat="1" ht="34.9" hidden="1" customHeight="1">
      <c r="B315" s="14">
        <v>44317</v>
      </c>
      <c r="C315" s="7">
        <v>6716.0982850076271</v>
      </c>
      <c r="D315" s="7">
        <v>23.41294584754565</v>
      </c>
      <c r="E315" s="7">
        <v>1272.966582612645</v>
      </c>
      <c r="F315" s="7">
        <v>1.5216490789815351</v>
      </c>
      <c r="G315" s="7">
        <v>785.30672431178516</v>
      </c>
      <c r="H315" s="7">
        <v>10.720781460288386</v>
      </c>
      <c r="I315" s="7">
        <v>4320.1327482595825</v>
      </c>
      <c r="J315" s="7">
        <v>20.341394071378627</v>
      </c>
      <c r="K315" s="7">
        <v>3950.2690475180616</v>
      </c>
      <c r="L315" s="7">
        <v>20.399046831067146</v>
      </c>
    </row>
    <row r="316" spans="2:12" s="18" customFormat="1" ht="34.9" hidden="1" customHeight="1">
      <c r="B316" s="15">
        <v>44348</v>
      </c>
      <c r="C316" s="11">
        <v>6810.3638651352312</v>
      </c>
      <c r="D316" s="11">
        <v>1.4035765429167846</v>
      </c>
      <c r="E316" s="11">
        <v>1293.2324896617131</v>
      </c>
      <c r="F316" s="11">
        <v>1.5920219215397102</v>
      </c>
      <c r="G316" s="11">
        <v>784.95878710075726</v>
      </c>
      <c r="H316" s="11">
        <v>-4.4305899880436872E-2</v>
      </c>
      <c r="I316" s="11">
        <v>4902.0610374182606</v>
      </c>
      <c r="J316" s="11">
        <v>13.470148328037258</v>
      </c>
      <c r="K316" s="11">
        <v>4141.0231064881109</v>
      </c>
      <c r="L316" s="11">
        <v>4.8288877713253298</v>
      </c>
    </row>
    <row r="317" spans="2:12" s="18" customFormat="1" ht="34.9" hidden="1" customHeight="1">
      <c r="B317" s="14">
        <v>44378</v>
      </c>
      <c r="C317" s="7">
        <v>6639.283917120958</v>
      </c>
      <c r="D317" s="7">
        <v>-2.5120529739988573</v>
      </c>
      <c r="E317" s="7">
        <v>1262.7305219665368</v>
      </c>
      <c r="F317" s="7">
        <v>-2.3585834673203299</v>
      </c>
      <c r="G317" s="7">
        <v>780.06302688753044</v>
      </c>
      <c r="H317" s="7">
        <v>-0.62369646581182936</v>
      </c>
      <c r="I317" s="7">
        <v>5060.5247821067633</v>
      </c>
      <c r="J317" s="7">
        <v>3.2325942798125507</v>
      </c>
      <c r="K317" s="7">
        <v>4125.831183520655</v>
      </c>
      <c r="L317" s="7">
        <v>-0.36686399898743227</v>
      </c>
    </row>
    <row r="318" spans="2:12" s="18" customFormat="1" ht="34.9" hidden="1" customHeight="1">
      <c r="B318" s="15">
        <v>44409</v>
      </c>
      <c r="C318" s="11">
        <v>6606.4808760976466</v>
      </c>
      <c r="D318" s="11">
        <v>-0.4940749850856796</v>
      </c>
      <c r="E318" s="11">
        <v>1251.8150368230247</v>
      </c>
      <c r="F318" s="11">
        <v>-0.86443504402765603</v>
      </c>
      <c r="G318" s="11">
        <v>770.8410731423121</v>
      </c>
      <c r="H318" s="11">
        <v>-1.1822062355671625</v>
      </c>
      <c r="I318" s="11">
        <v>4762.358331743515</v>
      </c>
      <c r="J318" s="11">
        <v>-5.8920065250449678</v>
      </c>
      <c r="K318" s="11">
        <v>4024.8375673594005</v>
      </c>
      <c r="L318" s="11">
        <v>-2.4478368519934124</v>
      </c>
    </row>
    <row r="319" spans="2:12" s="18" customFormat="1" ht="34.9" hidden="1" customHeight="1">
      <c r="B319" s="14">
        <v>44440</v>
      </c>
      <c r="C319" s="7">
        <v>6453.326386022477</v>
      </c>
      <c r="D319" s="7">
        <v>-2.3182461729252091</v>
      </c>
      <c r="E319" s="7">
        <v>1395.8405713612842</v>
      </c>
      <c r="F319" s="7">
        <v>11.505336675279221</v>
      </c>
      <c r="G319" s="7">
        <v>785.46992263738173</v>
      </c>
      <c r="H319" s="7">
        <v>1.8977776359834442</v>
      </c>
      <c r="I319" s="7">
        <v>4743.9617959331608</v>
      </c>
      <c r="J319" s="7">
        <v>-0.38629045798028727</v>
      </c>
      <c r="K319" s="7">
        <v>3988.9435559722656</v>
      </c>
      <c r="L319" s="7">
        <v>-0.89181267036035905</v>
      </c>
    </row>
    <row r="320" spans="2:12" s="18" customFormat="1" ht="34.9" hidden="1" customHeight="1">
      <c r="B320" s="15">
        <v>44470</v>
      </c>
      <c r="C320" s="11">
        <v>6553.9077829631888</v>
      </c>
      <c r="D320" s="11">
        <v>1.558597704876119</v>
      </c>
      <c r="E320" s="11">
        <v>1387.5200715674848</v>
      </c>
      <c r="F320" s="11">
        <v>-0.59609241660635304</v>
      </c>
      <c r="G320" s="11">
        <v>804.54909274767328</v>
      </c>
      <c r="H320" s="11">
        <v>2.4290134555667198</v>
      </c>
      <c r="I320" s="11">
        <v>4747.054466428478</v>
      </c>
      <c r="J320" s="11">
        <v>6.5191724308744092E-2</v>
      </c>
      <c r="K320" s="11">
        <v>4034.659172195119</v>
      </c>
      <c r="L320" s="11">
        <v>1.1460582377609274</v>
      </c>
    </row>
    <row r="321" spans="2:12" s="18" customFormat="1" ht="34.9" hidden="1" customHeight="1">
      <c r="B321" s="14">
        <v>44501</v>
      </c>
      <c r="C321" s="7">
        <v>6324.364795195539</v>
      </c>
      <c r="D321" s="7">
        <v>-3.502383545345944</v>
      </c>
      <c r="E321" s="7">
        <v>1355.7998040834209</v>
      </c>
      <c r="F321" s="7">
        <v>-2.2861123333682287</v>
      </c>
      <c r="G321" s="7">
        <v>783.92583713788235</v>
      </c>
      <c r="H321" s="7">
        <v>-2.5633309136374738</v>
      </c>
      <c r="I321" s="7">
        <v>4622.3932186028542</v>
      </c>
      <c r="J321" s="7">
        <v>-2.6260757846204963</v>
      </c>
      <c r="K321" s="7">
        <v>3908.8183743436061</v>
      </c>
      <c r="L321" s="7">
        <v>-3.1189945043870293</v>
      </c>
    </row>
    <row r="322" spans="2:12" s="18" customFormat="1" ht="34.9" hidden="1" customHeight="1">
      <c r="B322" s="15">
        <v>44531</v>
      </c>
      <c r="C322" s="11">
        <v>6566.3725669025489</v>
      </c>
      <c r="D322" s="11">
        <v>3.8265941251658608</v>
      </c>
      <c r="E322" s="11">
        <v>1328.3496128329086</v>
      </c>
      <c r="F322" s="11">
        <v>-2.0246493005705801</v>
      </c>
      <c r="G322" s="11">
        <v>782.37513604242156</v>
      </c>
      <c r="H322" s="11">
        <v>-0.1978122192173748</v>
      </c>
      <c r="I322" s="11">
        <v>4700.4878105064408</v>
      </c>
      <c r="J322" s="11">
        <v>1.6894839579915999</v>
      </c>
      <c r="K322" s="11">
        <v>4005.2714181200786</v>
      </c>
      <c r="L322" s="11">
        <v>2.4675754803437089</v>
      </c>
    </row>
    <row r="323" spans="2:12" s="18" customFormat="1" ht="34.9" hidden="1" customHeight="1">
      <c r="B323" s="3">
        <v>2022</v>
      </c>
      <c r="C323" s="96"/>
      <c r="D323" s="96"/>
      <c r="E323" s="93"/>
      <c r="F323" s="93"/>
      <c r="G323" s="93"/>
      <c r="H323" s="93"/>
      <c r="I323" s="93"/>
      <c r="J323" s="93"/>
      <c r="K323" s="93"/>
      <c r="L323" s="93"/>
    </row>
    <row r="324" spans="2:12" s="18" customFormat="1" ht="34.9" hidden="1" customHeight="1">
      <c r="B324" s="14">
        <v>44562</v>
      </c>
      <c r="C324" s="7">
        <v>6713.19</v>
      </c>
      <c r="D324" s="7">
        <v>2.2358986122334334</v>
      </c>
      <c r="E324" s="7">
        <v>1386.46</v>
      </c>
      <c r="F324" s="7">
        <v>4.3746304892702259</v>
      </c>
      <c r="G324" s="7">
        <v>794.54</v>
      </c>
      <c r="H324" s="7">
        <v>1.5548633126447831</v>
      </c>
      <c r="I324" s="7">
        <v>4650.59</v>
      </c>
      <c r="J324" s="7">
        <v>-1.0615453654599483</v>
      </c>
      <c r="K324" s="7">
        <v>4049.78</v>
      </c>
      <c r="L324" s="7">
        <v>1.1112500810447568</v>
      </c>
    </row>
    <row r="325" spans="2:12" s="18" customFormat="1" ht="34.9" hidden="1" customHeight="1">
      <c r="B325" s="15">
        <v>44593</v>
      </c>
      <c r="C325" s="11">
        <v>6576.07</v>
      </c>
      <c r="D325" s="11">
        <v>-2.042546092096309</v>
      </c>
      <c r="E325" s="11">
        <v>1398.01</v>
      </c>
      <c r="F325" s="11">
        <v>0.83305684981895833</v>
      </c>
      <c r="G325" s="11">
        <v>780.48</v>
      </c>
      <c r="H325" s="11">
        <v>-1.76957736551967</v>
      </c>
      <c r="I325" s="11">
        <v>4797.3</v>
      </c>
      <c r="J325" s="11">
        <v>3.1546534955779748</v>
      </c>
      <c r="K325" s="11">
        <v>4037.96</v>
      </c>
      <c r="L325" s="11">
        <v>-0.29186770639393345</v>
      </c>
    </row>
    <row r="326" spans="2:12" s="18" customFormat="1" ht="34.9" hidden="1" customHeight="1">
      <c r="B326" s="14">
        <v>44621</v>
      </c>
      <c r="C326" s="7">
        <v>6517.62</v>
      </c>
      <c r="D326" s="7">
        <v>-0.88882873813690422</v>
      </c>
      <c r="E326" s="7">
        <v>1343.18</v>
      </c>
      <c r="F326" s="7">
        <v>-3.9220034191457809</v>
      </c>
      <c r="G326" s="7">
        <v>752.01</v>
      </c>
      <c r="H326" s="7">
        <v>-3.647755227552274</v>
      </c>
      <c r="I326" s="7">
        <v>5848.23</v>
      </c>
      <c r="J326" s="7">
        <v>21.9066975173535</v>
      </c>
      <c r="K326" s="7">
        <v>4291.0600000000004</v>
      </c>
      <c r="L326" s="7">
        <v>6.2680165231948859</v>
      </c>
    </row>
    <row r="327" spans="2:12" s="18" customFormat="1" ht="34.9" hidden="1" customHeight="1">
      <c r="B327" s="15">
        <v>44652</v>
      </c>
      <c r="C327" s="11">
        <v>6695.35</v>
      </c>
      <c r="D327" s="11">
        <v>2.7269156532599315</v>
      </c>
      <c r="E327" s="11">
        <v>1373.34</v>
      </c>
      <c r="F327" s="11">
        <v>2.2454175910897822</v>
      </c>
      <c r="G327" s="11">
        <v>758.29</v>
      </c>
      <c r="H327" s="11">
        <v>0.83509527798832917</v>
      </c>
      <c r="I327" s="11">
        <v>6959.03</v>
      </c>
      <c r="J327" s="11">
        <v>18.993781024344123</v>
      </c>
      <c r="K327" s="11">
        <v>4664.45</v>
      </c>
      <c r="L327" s="11">
        <v>8.7015795630916326</v>
      </c>
    </row>
    <row r="328" spans="2:12" s="18" customFormat="1" ht="34.9" hidden="1" customHeight="1">
      <c r="B328" s="14">
        <v>44682</v>
      </c>
      <c r="C328" s="7">
        <v>6644.77</v>
      </c>
      <c r="D328" s="7">
        <v>-0.75544967776143279</v>
      </c>
      <c r="E328" s="7">
        <v>1355.7</v>
      </c>
      <c r="F328" s="7">
        <v>-1.2844597841757954</v>
      </c>
      <c r="G328" s="7">
        <v>777.33</v>
      </c>
      <c r="H328" s="7">
        <v>2.5109127114956165</v>
      </c>
      <c r="I328" s="7">
        <v>7820.84</v>
      </c>
      <c r="J328" s="7">
        <v>12.384053524700999</v>
      </c>
      <c r="K328" s="7">
        <v>4905.6499999999996</v>
      </c>
      <c r="L328" s="7">
        <v>5.1710276667131128</v>
      </c>
    </row>
    <row r="329" spans="2:12" s="18" customFormat="1" ht="34.9" hidden="1" customHeight="1">
      <c r="B329" s="15">
        <v>44713</v>
      </c>
      <c r="C329" s="11">
        <v>6642.39</v>
      </c>
      <c r="D329" s="11">
        <v>-3.5817643048596803E-2</v>
      </c>
      <c r="E329" s="11">
        <v>1268.53</v>
      </c>
      <c r="F329" s="11">
        <v>-6.4298886184259052</v>
      </c>
      <c r="G329" s="11">
        <v>794.92</v>
      </c>
      <c r="H329" s="11">
        <v>2.2628741975737388</v>
      </c>
      <c r="I329" s="11">
        <v>7586.17</v>
      </c>
      <c r="J329" s="11">
        <v>-3.0005728284941302</v>
      </c>
      <c r="K329" s="11">
        <v>4848.3900000000003</v>
      </c>
      <c r="L329" s="11">
        <v>-1.1672255460540293</v>
      </c>
    </row>
    <row r="330" spans="2:12" s="18" customFormat="1" ht="34.9" hidden="1" customHeight="1">
      <c r="B330" s="14">
        <v>44743</v>
      </c>
      <c r="C330" s="7">
        <v>6829.5</v>
      </c>
      <c r="D330" s="7">
        <v>2.8169077696431399</v>
      </c>
      <c r="E330" s="7">
        <v>1278.68</v>
      </c>
      <c r="F330" s="7">
        <v>0.80013874326978485</v>
      </c>
      <c r="G330" s="7">
        <v>824.71</v>
      </c>
      <c r="H330" s="7">
        <v>3.7475469229608205</v>
      </c>
      <c r="I330" s="7">
        <v>7980.94</v>
      </c>
      <c r="J330" s="7">
        <v>5.2038116730840356</v>
      </c>
      <c r="K330" s="7">
        <v>5039.8900000000003</v>
      </c>
      <c r="L330" s="7">
        <v>3.9497647672732672</v>
      </c>
    </row>
    <row r="331" spans="2:12" s="18" customFormat="1" ht="34.9" hidden="1" customHeight="1">
      <c r="B331" s="15">
        <v>44774</v>
      </c>
      <c r="C331" s="11">
        <v>6691.99</v>
      </c>
      <c r="D331" s="11">
        <v>-2.0134709715206145</v>
      </c>
      <c r="E331" s="11">
        <v>1304.25</v>
      </c>
      <c r="F331" s="11">
        <v>1.9997184596615147</v>
      </c>
      <c r="G331" s="11">
        <v>819.92</v>
      </c>
      <c r="H331" s="11">
        <v>-0.58081022420003459</v>
      </c>
      <c r="I331" s="11">
        <v>7697.43</v>
      </c>
      <c r="J331" s="11">
        <v>-3.5523384463484131</v>
      </c>
      <c r="K331" s="11">
        <v>4913.2</v>
      </c>
      <c r="L331" s="11">
        <v>-2.5137453396800402</v>
      </c>
    </row>
    <row r="332" spans="2:12" s="18" customFormat="1" ht="34.9" hidden="1" customHeight="1">
      <c r="B332" s="14">
        <v>44805</v>
      </c>
      <c r="C332" s="7">
        <v>6569.16</v>
      </c>
      <c r="D332" s="7">
        <v>-1.8354779370560959</v>
      </c>
      <c r="E332" s="7">
        <v>1374.78</v>
      </c>
      <c r="F332" s="7">
        <v>5.4077055779183425</v>
      </c>
      <c r="G332" s="7">
        <v>821.31</v>
      </c>
      <c r="H332" s="7">
        <v>0.16952873451068218</v>
      </c>
      <c r="I332" s="7">
        <v>7269.01</v>
      </c>
      <c r="J332" s="7">
        <v>-5.5657537645681714</v>
      </c>
      <c r="K332" s="7">
        <v>4760.0600000000004</v>
      </c>
      <c r="L332" s="7">
        <v>-3.1169095497842414</v>
      </c>
    </row>
    <row r="333" spans="2:12" s="18" customFormat="1" ht="34.9" hidden="1" customHeight="1">
      <c r="B333" s="15">
        <v>44835</v>
      </c>
      <c r="C333" s="11">
        <v>6530.69</v>
      </c>
      <c r="D333" s="11">
        <v>-0.58561520803268596</v>
      </c>
      <c r="E333" s="11">
        <v>1395.49</v>
      </c>
      <c r="F333" s="11">
        <v>1.506422845837152</v>
      </c>
      <c r="G333" s="11">
        <v>822.1</v>
      </c>
      <c r="H333" s="11">
        <v>9.6187797542968134E-2</v>
      </c>
      <c r="I333" s="11">
        <v>6991.12</v>
      </c>
      <c r="J333" s="11">
        <v>-3.8229415009746859</v>
      </c>
      <c r="K333" s="11">
        <v>4672.1499999999996</v>
      </c>
      <c r="L333" s="11">
        <v>-1.8468254601832879</v>
      </c>
    </row>
    <row r="334" spans="2:12" s="18" customFormat="1" ht="34.9" hidden="1" customHeight="1">
      <c r="B334" s="14">
        <v>44866</v>
      </c>
      <c r="C334" s="7">
        <v>6740.4</v>
      </c>
      <c r="D334" s="7">
        <v>3.2111461422912546</v>
      </c>
      <c r="E334" s="7">
        <v>1365.86</v>
      </c>
      <c r="F334" s="7">
        <v>-2.1232685293337883</v>
      </c>
      <c r="G334" s="7">
        <v>832.32</v>
      </c>
      <c r="H334" s="7">
        <v>1.2431577666950577</v>
      </c>
      <c r="I334" s="7">
        <v>6944.03</v>
      </c>
      <c r="J334" s="7">
        <v>-0.67356875579306363</v>
      </c>
      <c r="K334" s="7">
        <v>4731.43</v>
      </c>
      <c r="L334" s="7">
        <v>1.2687948803013827</v>
      </c>
    </row>
    <row r="335" spans="2:12" s="18" customFormat="1" ht="34.9" hidden="1" customHeight="1">
      <c r="B335" s="15">
        <v>44896</v>
      </c>
      <c r="C335" s="11">
        <v>6753.66</v>
      </c>
      <c r="D335" s="11">
        <v>0.19672423001602102</v>
      </c>
      <c r="E335" s="11">
        <v>1331.66</v>
      </c>
      <c r="F335" s="11">
        <v>-2.5039169460998822</v>
      </c>
      <c r="G335" s="11">
        <v>852.07</v>
      </c>
      <c r="H335" s="11">
        <v>2.3728854286812817</v>
      </c>
      <c r="I335" s="11">
        <v>6882.07</v>
      </c>
      <c r="J335" s="11">
        <v>-0.89227725110634371</v>
      </c>
      <c r="K335" s="11">
        <v>4730.37</v>
      </c>
      <c r="L335" s="11">
        <v>-2.2403374878221527E-2</v>
      </c>
    </row>
    <row r="336" spans="2:12" s="18" customFormat="1" ht="34.9" hidden="1" customHeight="1">
      <c r="B336" s="3">
        <v>2023</v>
      </c>
      <c r="C336" s="96"/>
      <c r="D336" s="96"/>
      <c r="E336" s="93"/>
      <c r="F336" s="93"/>
      <c r="G336" s="93"/>
      <c r="H336" s="93"/>
      <c r="I336" s="93"/>
      <c r="J336" s="93"/>
      <c r="K336" s="93"/>
      <c r="L336" s="93"/>
    </row>
    <row r="337" spans="2:12" s="18" customFormat="1" ht="34.9" hidden="1" customHeight="1">
      <c r="B337" s="14">
        <v>44927</v>
      </c>
      <c r="C337" s="7">
        <v>6879.9</v>
      </c>
      <c r="D337" s="7">
        <v>1.8692086957294185</v>
      </c>
      <c r="E337" s="7">
        <v>1321.57</v>
      </c>
      <c r="F337" s="7">
        <v>-0.75770091464789635</v>
      </c>
      <c r="G337" s="7">
        <v>935.61</v>
      </c>
      <c r="H337" s="7">
        <v>9.8043587968124726</v>
      </c>
      <c r="I337" s="7">
        <v>8021.83</v>
      </c>
      <c r="J337" s="7">
        <v>16.561296237905164</v>
      </c>
      <c r="K337" s="7">
        <v>5140.42</v>
      </c>
      <c r="L337" s="7">
        <v>8.6684551102767848</v>
      </c>
    </row>
    <row r="338" spans="2:12" s="18" customFormat="1" ht="34.9" hidden="1" customHeight="1">
      <c r="B338" s="15">
        <v>44958</v>
      </c>
      <c r="C338" s="11">
        <v>6871.57</v>
      </c>
      <c r="D338" s="11">
        <v>-0.12107734124042757</v>
      </c>
      <c r="E338" s="11">
        <v>1303.18</v>
      </c>
      <c r="F338" s="11">
        <v>-1.3915267447051516</v>
      </c>
      <c r="G338" s="11">
        <v>928.12</v>
      </c>
      <c r="H338" s="11">
        <v>-0.80054723656224347</v>
      </c>
      <c r="I338" s="11">
        <v>8117.5</v>
      </c>
      <c r="J338" s="11">
        <v>1.1926206364383241</v>
      </c>
      <c r="K338" s="11">
        <v>5157.16</v>
      </c>
      <c r="L338" s="11">
        <v>0.32565432396574057</v>
      </c>
    </row>
    <row r="339" spans="2:12" s="18" customFormat="1" ht="34.9" hidden="1" customHeight="1">
      <c r="B339" s="14">
        <v>44986</v>
      </c>
      <c r="C339" s="7">
        <v>6825.4</v>
      </c>
      <c r="D339" s="7">
        <v>-0.67189885280947159</v>
      </c>
      <c r="E339" s="7">
        <v>1325.15</v>
      </c>
      <c r="F339" s="7">
        <v>1.685876087723881</v>
      </c>
      <c r="G339" s="7">
        <v>916.87</v>
      </c>
      <c r="H339" s="7">
        <v>-1.2121277421023091</v>
      </c>
      <c r="I339" s="7">
        <v>7487.16</v>
      </c>
      <c r="J339" s="7">
        <v>-7.7651986449029931</v>
      </c>
      <c r="K339" s="7">
        <v>4963.57</v>
      </c>
      <c r="L339" s="7">
        <v>-3.7538102366418746</v>
      </c>
    </row>
    <row r="340" spans="2:12" s="18" customFormat="1" ht="34.9" hidden="1" customHeight="1">
      <c r="B340" s="15">
        <v>45017</v>
      </c>
      <c r="C340" s="11">
        <v>6521.14</v>
      </c>
      <c r="D340" s="11">
        <v>-4.4577607173205909</v>
      </c>
      <c r="E340" s="11">
        <v>1284.78</v>
      </c>
      <c r="F340" s="11">
        <v>-3.0464475719729878</v>
      </c>
      <c r="G340" s="11">
        <v>854.83</v>
      </c>
      <c r="H340" s="11">
        <v>-6.76649906747957</v>
      </c>
      <c r="I340" s="11">
        <v>6666.91</v>
      </c>
      <c r="J340" s="11">
        <v>-10.955422349729405</v>
      </c>
      <c r="K340" s="11">
        <v>4593.47</v>
      </c>
      <c r="L340" s="11">
        <v>-7.4563267970432445</v>
      </c>
    </row>
    <row r="341" spans="2:12" s="18" customFormat="1" ht="34.9" hidden="1" customHeight="1">
      <c r="B341" s="14">
        <v>45047</v>
      </c>
      <c r="C341" s="7">
        <v>6453.61</v>
      </c>
      <c r="D341" s="7">
        <v>-1.0355551329982227</v>
      </c>
      <c r="E341" s="7">
        <v>1322.83</v>
      </c>
      <c r="F341" s="7">
        <v>2.9615965379286679</v>
      </c>
      <c r="G341" s="7">
        <v>899.17</v>
      </c>
      <c r="H341" s="7">
        <v>5.1869962448673812</v>
      </c>
      <c r="I341" s="7">
        <v>6822.05</v>
      </c>
      <c r="J341" s="7">
        <v>2.3270150639501663</v>
      </c>
      <c r="K341" s="7">
        <v>4645.8500000000004</v>
      </c>
      <c r="L341" s="7">
        <v>1.1403144028370837</v>
      </c>
    </row>
    <row r="342" spans="2:12" s="18" customFormat="1" ht="34.5" hidden="1" customHeight="1">
      <c r="B342" s="15">
        <v>45078</v>
      </c>
      <c r="C342" s="11">
        <v>6356.29</v>
      </c>
      <c r="D342" s="11">
        <v>-1.5079932007047159</v>
      </c>
      <c r="E342" s="11">
        <v>1303.83</v>
      </c>
      <c r="F342" s="11">
        <v>-1.4363145680095002</v>
      </c>
      <c r="G342" s="11">
        <v>889.7</v>
      </c>
      <c r="H342" s="11">
        <v>-1.0531935006728332</v>
      </c>
      <c r="I342" s="11">
        <v>6716.79</v>
      </c>
      <c r="J342" s="11">
        <v>-1.542937973189884</v>
      </c>
      <c r="K342" s="11">
        <v>4577.41</v>
      </c>
      <c r="L342" s="11">
        <v>-1.4731426972459438</v>
      </c>
    </row>
    <row r="343" spans="2:12" s="18" customFormat="1" ht="34.9" hidden="1" customHeight="1">
      <c r="B343" s="14">
        <v>45108</v>
      </c>
      <c r="C343" s="7">
        <v>6435.29</v>
      </c>
      <c r="D343" s="7">
        <v>1.2428633684114399</v>
      </c>
      <c r="E343" s="7">
        <v>1269.51</v>
      </c>
      <c r="F343" s="7">
        <v>-2.6322450012654985</v>
      </c>
      <c r="G343" s="7">
        <v>890.64</v>
      </c>
      <c r="H343" s="7">
        <v>0.10565359109810935</v>
      </c>
      <c r="I343" s="7">
        <v>6415.1</v>
      </c>
      <c r="J343" s="7">
        <v>-4.4915800553538165</v>
      </c>
      <c r="K343" s="7">
        <v>4520.9799999999996</v>
      </c>
      <c r="L343" s="7">
        <v>-1.2327932171249723</v>
      </c>
    </row>
    <row r="344" spans="2:12" s="18" customFormat="1" ht="34.9" hidden="1" customHeight="1">
      <c r="B344" s="15">
        <v>45139</v>
      </c>
      <c r="C344" s="11">
        <v>6382.67</v>
      </c>
      <c r="D344" s="11">
        <v>-0.81767876816739582</v>
      </c>
      <c r="E344" s="11">
        <v>1241.44</v>
      </c>
      <c r="F344" s="11">
        <v>-2.2110893179258073</v>
      </c>
      <c r="G344" s="11">
        <v>884.2</v>
      </c>
      <c r="H344" s="11">
        <v>-0.72307554118385964</v>
      </c>
      <c r="I344" s="11">
        <v>6163.13</v>
      </c>
      <c r="J344" s="11">
        <v>-3.9277641813845521</v>
      </c>
      <c r="K344" s="11">
        <v>4429.18</v>
      </c>
      <c r="L344" s="11">
        <v>-2.030533202978102</v>
      </c>
    </row>
    <row r="345" spans="2:12" s="18" customFormat="1" ht="34.9" hidden="1" customHeight="1">
      <c r="B345" s="14">
        <v>45170</v>
      </c>
      <c r="C345" s="7">
        <v>6412.38</v>
      </c>
      <c r="D345" s="7">
        <v>0.46547918034303137</v>
      </c>
      <c r="E345" s="7">
        <v>1246.74</v>
      </c>
      <c r="F345" s="7">
        <v>0.42692357262532621</v>
      </c>
      <c r="G345" s="7">
        <v>890.03</v>
      </c>
      <c r="H345" s="7">
        <v>0.65935308753675148</v>
      </c>
      <c r="I345" s="7">
        <v>6057.54</v>
      </c>
      <c r="J345" s="7">
        <v>-1.7132528439283257</v>
      </c>
      <c r="K345" s="7">
        <v>4413.58</v>
      </c>
      <c r="L345" s="7">
        <v>-0.3522096640913297</v>
      </c>
    </row>
    <row r="346" spans="2:12" s="18" customFormat="1" ht="34.9" hidden="1" customHeight="1">
      <c r="B346" s="15">
        <v>45200</v>
      </c>
      <c r="C346" s="11">
        <v>6575.72</v>
      </c>
      <c r="D346" s="11">
        <v>2.5472601436596021</v>
      </c>
      <c r="E346" s="11">
        <v>1260.6199999999999</v>
      </c>
      <c r="F346" s="11">
        <v>1.1133034955163046</v>
      </c>
      <c r="G346" s="11">
        <v>871.58</v>
      </c>
      <c r="H346" s="11">
        <v>-2.0729638326797861</v>
      </c>
      <c r="I346" s="11">
        <v>5853.58</v>
      </c>
      <c r="J346" s="11">
        <v>-3.3670433872496131</v>
      </c>
      <c r="K346" s="11">
        <v>4400.01</v>
      </c>
      <c r="L346" s="11">
        <v>-0.30746015706070162</v>
      </c>
    </row>
    <row r="347" spans="2:12" s="18" customFormat="1" ht="34.9" hidden="1" customHeight="1">
      <c r="B347" s="14">
        <v>45231</v>
      </c>
      <c r="C347" s="7">
        <v>6574.94</v>
      </c>
      <c r="D347" s="7">
        <v>-1.1861818933911472E-2</v>
      </c>
      <c r="E347" s="7">
        <v>1282.8399999999999</v>
      </c>
      <c r="F347" s="7">
        <v>1.7626247402072082</v>
      </c>
      <c r="G347" s="7">
        <v>873.97</v>
      </c>
      <c r="H347" s="7">
        <v>0.27421464466830248</v>
      </c>
      <c r="I347" s="7">
        <v>5749.81</v>
      </c>
      <c r="J347" s="7">
        <v>-1.7727612845472307</v>
      </c>
      <c r="K347" s="7">
        <v>4371.8900000000003</v>
      </c>
      <c r="L347" s="7">
        <v>-0.63908945661487193</v>
      </c>
    </row>
    <row r="348" spans="2:12" s="18" customFormat="1" ht="34.9" hidden="1" customHeight="1">
      <c r="B348" s="60">
        <v>45261</v>
      </c>
      <c r="C348" s="62">
        <v>6735.62</v>
      </c>
      <c r="D348" s="62">
        <v>2.4438245824296434</v>
      </c>
      <c r="E348" s="62">
        <v>1284.93</v>
      </c>
      <c r="F348" s="62">
        <v>0.16291977175642014</v>
      </c>
      <c r="G348" s="62">
        <v>878.63</v>
      </c>
      <c r="H348" s="62">
        <v>0.53319908005995398</v>
      </c>
      <c r="I348" s="62">
        <v>5706.68</v>
      </c>
      <c r="J348" s="62">
        <v>-0.75011174282281212</v>
      </c>
      <c r="K348" s="62">
        <v>4416.32</v>
      </c>
      <c r="L348" s="62">
        <v>1.0162652765737246</v>
      </c>
    </row>
    <row r="349" spans="2:12" s="18" customFormat="1" ht="34.9" hidden="1" customHeight="1">
      <c r="B349" s="135">
        <v>2024</v>
      </c>
      <c r="C349" s="136"/>
      <c r="D349" s="136"/>
      <c r="E349" s="137"/>
      <c r="F349" s="137"/>
      <c r="G349" s="137"/>
      <c r="H349" s="137"/>
      <c r="I349" s="137"/>
      <c r="J349" s="137"/>
      <c r="K349" s="137"/>
      <c r="L349" s="137"/>
    </row>
    <row r="350" spans="2:12" s="18" customFormat="1" ht="34.9" hidden="1" customHeight="1">
      <c r="B350" s="14">
        <v>45292</v>
      </c>
      <c r="C350" s="7">
        <v>6800.01</v>
      </c>
      <c r="D350" s="7">
        <v>0.95596248006866202</v>
      </c>
      <c r="E350" s="7">
        <v>1291.8399999999999</v>
      </c>
      <c r="F350" s="7">
        <v>0.53777248566069202</v>
      </c>
      <c r="G350" s="7">
        <v>901.42</v>
      </c>
      <c r="H350" s="7">
        <v>2.5938108191161158</v>
      </c>
      <c r="I350" s="7">
        <v>5882.38</v>
      </c>
      <c r="J350" s="7">
        <v>3.0788479466169472</v>
      </c>
      <c r="K350" s="7">
        <v>4501.26</v>
      </c>
      <c r="L350" s="7">
        <v>1.9233207738569735</v>
      </c>
    </row>
    <row r="351" spans="2:12" s="18" customFormat="1" ht="34.9" hidden="1" customHeight="1">
      <c r="B351" s="15">
        <v>45323</v>
      </c>
      <c r="C351" s="11">
        <v>6676.83</v>
      </c>
      <c r="D351" s="11">
        <f>C351/C350*100-100</f>
        <v>-1.8114679243118843</v>
      </c>
      <c r="E351" s="11">
        <v>1306.0999999999999</v>
      </c>
      <c r="F351" s="11">
        <f t="shared" ref="F351:F356" si="0">E351/E350*100-100</f>
        <v>1.1038518702006286</v>
      </c>
      <c r="G351" s="11">
        <v>896.05</v>
      </c>
      <c r="H351" s="11">
        <f t="shared" ref="H351:H356" si="1">G351/G350*100-100</f>
        <v>-0.59572674225111655</v>
      </c>
      <c r="I351" s="11">
        <v>5969.7</v>
      </c>
      <c r="J351" s="11">
        <f t="shared" ref="J351:J356" si="2">I351/I350*100-100</f>
        <v>1.4844331716074066</v>
      </c>
      <c r="K351" s="11">
        <v>4481.57</v>
      </c>
      <c r="L351" s="11">
        <f t="shared" ref="L351:L356" si="3">K351/K350*100-100</f>
        <v>-0.43743307429477341</v>
      </c>
    </row>
    <row r="352" spans="2:12" s="18" customFormat="1" ht="34.9" hidden="1" customHeight="1">
      <c r="B352" s="14">
        <v>45352</v>
      </c>
      <c r="C352" s="7">
        <v>6565.2</v>
      </c>
      <c r="D352" s="7">
        <f>C352/C351*100-100</f>
        <v>-1.6719011866409659</v>
      </c>
      <c r="E352" s="7">
        <v>1309.17</v>
      </c>
      <c r="F352" s="7">
        <f>E352/E351*100-100</f>
        <v>0.23505091493760233</v>
      </c>
      <c r="G352" s="7">
        <v>896.51</v>
      </c>
      <c r="H352" s="7">
        <f t="shared" si="1"/>
        <v>5.1336420958648432E-2</v>
      </c>
      <c r="I352" s="7">
        <v>5870.96</v>
      </c>
      <c r="J352" s="7">
        <f>I352/I351*100-100</f>
        <v>-1.6540194649647333</v>
      </c>
      <c r="K352" s="7">
        <v>4416.8900000000003</v>
      </c>
      <c r="L352" s="7">
        <f t="shared" si="3"/>
        <v>-1.4432442202174514</v>
      </c>
    </row>
    <row r="353" spans="2:17" s="18" customFormat="1" ht="34.5" hidden="1" customHeight="1">
      <c r="B353" s="15">
        <v>45383</v>
      </c>
      <c r="C353" s="11">
        <v>6431.19</v>
      </c>
      <c r="D353" s="11">
        <f t="shared" ref="D353:D355" si="4">C353/C352*100-100</f>
        <v>-2.0412173277280345</v>
      </c>
      <c r="E353" s="11">
        <v>1325.91</v>
      </c>
      <c r="F353" s="11">
        <f t="shared" si="0"/>
        <v>1.2786727468548662</v>
      </c>
      <c r="G353" s="11">
        <v>865.15</v>
      </c>
      <c r="H353" s="11">
        <f t="shared" si="1"/>
        <v>-3.4980089458009473</v>
      </c>
      <c r="I353" s="11">
        <v>5882.13</v>
      </c>
      <c r="J353" s="11">
        <f t="shared" si="2"/>
        <v>0.1902584926485531</v>
      </c>
      <c r="K353" s="11">
        <v>4356.59</v>
      </c>
      <c r="L353" s="11">
        <f t="shared" si="3"/>
        <v>-1.3652139854060152</v>
      </c>
    </row>
    <row r="354" spans="2:17" s="18" customFormat="1" ht="34.9" hidden="1" customHeight="1">
      <c r="B354" s="14">
        <v>45413</v>
      </c>
      <c r="C354" s="7">
        <v>6488.17</v>
      </c>
      <c r="D354" s="7">
        <f t="shared" si="4"/>
        <v>0.8859946603972304</v>
      </c>
      <c r="E354" s="7">
        <v>1350.87</v>
      </c>
      <c r="F354" s="7">
        <f t="shared" si="0"/>
        <v>1.882480711360472</v>
      </c>
      <c r="G354" s="7">
        <v>882.95</v>
      </c>
      <c r="H354" s="7">
        <f t="shared" si="1"/>
        <v>2.0574466855458553</v>
      </c>
      <c r="I354" s="7">
        <v>5749.51</v>
      </c>
      <c r="J354" s="7">
        <f t="shared" si="2"/>
        <v>-2.2546254503045589</v>
      </c>
      <c r="K354" s="7">
        <v>4348.76</v>
      </c>
      <c r="L354" s="7">
        <f t="shared" si="3"/>
        <v>-0.17972772282909943</v>
      </c>
    </row>
    <row r="355" spans="2:17" s="18" customFormat="1" ht="34.5" hidden="1" customHeight="1">
      <c r="B355" s="15">
        <v>45445</v>
      </c>
      <c r="C355" s="11">
        <v>6371.55</v>
      </c>
      <c r="D355" s="11">
        <f t="shared" si="4"/>
        <v>-1.797425159944936</v>
      </c>
      <c r="E355" s="11">
        <v>1355.01</v>
      </c>
      <c r="F355" s="11">
        <f t="shared" si="0"/>
        <v>0.30646916431633997</v>
      </c>
      <c r="G355" s="11">
        <v>897.85</v>
      </c>
      <c r="H355" s="11">
        <f t="shared" si="1"/>
        <v>1.6875247749023004</v>
      </c>
      <c r="I355" s="11">
        <v>5806.93</v>
      </c>
      <c r="J355" s="11">
        <f t="shared" si="2"/>
        <v>0.99869380173267075</v>
      </c>
      <c r="K355" s="11">
        <v>4334.6499999999996</v>
      </c>
      <c r="L355" s="11">
        <f t="shared" si="3"/>
        <v>-0.32446030592629427</v>
      </c>
    </row>
    <row r="356" spans="2:17" s="18" customFormat="1" ht="34.9" hidden="1" customHeight="1">
      <c r="B356" s="14">
        <v>45474</v>
      </c>
      <c r="C356" s="7">
        <v>6418.74</v>
      </c>
      <c r="D356" s="7">
        <f t="shared" ref="D356:D360" si="5">C356/C355*100-100</f>
        <v>0.74063610895306908</v>
      </c>
      <c r="E356" s="7">
        <v>1358.89</v>
      </c>
      <c r="F356" s="7">
        <f t="shared" si="0"/>
        <v>0.28634475022325034</v>
      </c>
      <c r="G356" s="7">
        <v>891.5</v>
      </c>
      <c r="H356" s="7">
        <f t="shared" si="1"/>
        <v>-0.70724508548198628</v>
      </c>
      <c r="I356" s="7">
        <v>5804.55</v>
      </c>
      <c r="J356" s="7">
        <f t="shared" si="2"/>
        <v>-4.0985512138078661E-2</v>
      </c>
      <c r="K356" s="7">
        <v>4346.17</v>
      </c>
      <c r="L356" s="7">
        <f t="shared" si="3"/>
        <v>0.26576540205091703</v>
      </c>
    </row>
    <row r="357" spans="2:17" s="18" customFormat="1" ht="34.5" hidden="1" customHeight="1">
      <c r="B357" s="15">
        <v>45506</v>
      </c>
      <c r="C357" s="11">
        <v>6440.72</v>
      </c>
      <c r="D357" s="11">
        <f t="shared" si="5"/>
        <v>0.34243480807761273</v>
      </c>
      <c r="E357" s="11">
        <v>1344.68</v>
      </c>
      <c r="F357" s="11">
        <f>E357/E356*100-100</f>
        <v>-1.0457064221533869</v>
      </c>
      <c r="G357" s="11">
        <v>880.01</v>
      </c>
      <c r="H357" s="11">
        <f>G357/G356*100-100</f>
        <v>-1.2888390353337087</v>
      </c>
      <c r="I357" s="11">
        <v>6060.05</v>
      </c>
      <c r="J357" s="11">
        <f>I357/I356*100-100</f>
        <v>4.4017193408619164</v>
      </c>
      <c r="K357" s="11">
        <v>4418.26</v>
      </c>
      <c r="L357" s="11">
        <f>K357/K356*100-100</f>
        <v>1.6587017995154412</v>
      </c>
    </row>
    <row r="358" spans="2:17" s="18" customFormat="1" ht="34.9" hidden="1" customHeight="1">
      <c r="B358" s="14">
        <v>45538</v>
      </c>
      <c r="C358" s="7">
        <v>6350.4</v>
      </c>
      <c r="D358" s="7">
        <f t="shared" si="5"/>
        <v>-1.4023276900719281</v>
      </c>
      <c r="E358" s="7">
        <v>1361.17</v>
      </c>
      <c r="F358" s="7">
        <f>E358/E357*100-100</f>
        <v>1.2263140672873902</v>
      </c>
      <c r="G358" s="7">
        <v>850.04</v>
      </c>
      <c r="H358" s="7">
        <f>G358/G357*100-100</f>
        <v>-3.4056431176918522</v>
      </c>
      <c r="I358" s="7">
        <v>5869.22</v>
      </c>
      <c r="J358" s="7">
        <f>I358/I357*100-100</f>
        <v>-3.148983919274599</v>
      </c>
      <c r="K358" s="7">
        <v>4316.4799999999996</v>
      </c>
      <c r="L358" s="7">
        <f>K358/K357*100-100</f>
        <v>-2.3036217877626228</v>
      </c>
    </row>
    <row r="359" spans="2:17" s="18" customFormat="1" ht="34.5" hidden="1" customHeight="1">
      <c r="B359" s="15">
        <v>45570</v>
      </c>
      <c r="C359" s="11">
        <v>6356.85</v>
      </c>
      <c r="D359" s="11">
        <f t="shared" si="5"/>
        <v>0.10156840513984378</v>
      </c>
      <c r="E359" s="11">
        <v>1377.03</v>
      </c>
      <c r="F359" s="11">
        <f>E359/E358*100-100</f>
        <v>1.16517407818273</v>
      </c>
      <c r="G359" s="11">
        <v>858.52</v>
      </c>
      <c r="H359" s="11">
        <f>G359/G358*100-100</f>
        <v>0.99760011293585649</v>
      </c>
      <c r="I359" s="11">
        <v>6148.15</v>
      </c>
      <c r="J359" s="11">
        <f>I359/I358*100-100</f>
        <v>4.7524202534578563</v>
      </c>
      <c r="K359" s="11">
        <v>4401.3100000000004</v>
      </c>
      <c r="L359" s="11">
        <f>K359/K358*100-100</f>
        <v>1.9652587293350336</v>
      </c>
    </row>
    <row r="360" spans="2:17" s="18" customFormat="1" ht="34.9" hidden="1" customHeight="1">
      <c r="B360" s="14">
        <v>45599</v>
      </c>
      <c r="C360" s="7">
        <v>6369.61</v>
      </c>
      <c r="D360" s="7">
        <f t="shared" si="5"/>
        <v>0.2007283481598563</v>
      </c>
      <c r="E360" s="7">
        <v>1380.79</v>
      </c>
      <c r="F360" s="7">
        <f>E360/E359*100-100</f>
        <v>0.27305142226386181</v>
      </c>
      <c r="G360" s="7">
        <v>856.11</v>
      </c>
      <c r="H360" s="7">
        <f>G360/G359*100-100</f>
        <v>-0.28071565018869649</v>
      </c>
      <c r="I360" s="7">
        <v>6399.55</v>
      </c>
      <c r="J360" s="7">
        <f>I360/I359*100-100</f>
        <v>4.0890349129413011</v>
      </c>
      <c r="K360" s="7">
        <v>4474.09</v>
      </c>
      <c r="L360" s="7">
        <f>K360/K359*100-100</f>
        <v>1.6535985876932102</v>
      </c>
    </row>
    <row r="361" spans="2:17" s="18" customFormat="1" ht="34.5" hidden="1" customHeight="1">
      <c r="B361" s="60">
        <v>45628</v>
      </c>
      <c r="C361" s="62">
        <v>6553.27</v>
      </c>
      <c r="D361" s="62">
        <f>C361/C360*100-100</f>
        <v>2.8833790451848813</v>
      </c>
      <c r="E361" s="62">
        <v>1376.04</v>
      </c>
      <c r="F361" s="62">
        <f>E361/E360*100-100</f>
        <v>-0.34400596759826385</v>
      </c>
      <c r="G361" s="62">
        <v>863.65</v>
      </c>
      <c r="H361" s="62">
        <f>G361/G360*100-100</f>
        <v>0.88072794383900543</v>
      </c>
      <c r="I361" s="62">
        <v>6739.07</v>
      </c>
      <c r="J361" s="62">
        <f>I361/I360*100-100</f>
        <v>5.3053730340414376</v>
      </c>
      <c r="K361" s="62">
        <v>4633.5600000000004</v>
      </c>
      <c r="L361" s="62">
        <f>K361/K360*100-100</f>
        <v>3.5643002264147583</v>
      </c>
      <c r="M361"/>
      <c r="N361"/>
      <c r="O361"/>
      <c r="P361"/>
      <c r="Q361"/>
    </row>
    <row r="362" spans="2:17" s="18" customFormat="1" ht="34.9" customHeight="1">
      <c r="B362" s="135">
        <v>2025</v>
      </c>
      <c r="C362" s="136"/>
      <c r="D362" s="136"/>
      <c r="E362" s="137"/>
      <c r="F362" s="137"/>
      <c r="G362" s="137"/>
      <c r="H362" s="137"/>
      <c r="I362" s="137"/>
      <c r="J362" s="137"/>
      <c r="K362" s="137"/>
      <c r="L362" s="137"/>
      <c r="M362"/>
      <c r="N362"/>
      <c r="O362"/>
      <c r="P362"/>
      <c r="Q362"/>
    </row>
    <row r="363" spans="2:17" s="8" customFormat="1" ht="34.9" hidden="1" customHeight="1">
      <c r="B363" s="14">
        <v>45658</v>
      </c>
      <c r="C363" s="7">
        <v>6946.38</v>
      </c>
      <c r="D363" s="7">
        <f>C363/C361*100-100</f>
        <v>5.9986846261484743</v>
      </c>
      <c r="E363" s="7">
        <v>1380.35</v>
      </c>
      <c r="F363" s="7">
        <f>E363/E361*100-100</f>
        <v>0.31321763902212751</v>
      </c>
      <c r="G363" s="7">
        <v>891.26</v>
      </c>
      <c r="H363" s="7">
        <f>G363/G361*100-100</f>
        <v>3.1968968911017157</v>
      </c>
      <c r="I363" s="7">
        <v>7565.71</v>
      </c>
      <c r="J363" s="7">
        <f>I363/I361*100-100</f>
        <v>12.266380969480963</v>
      </c>
      <c r="K363" s="7">
        <v>5014.6499999999996</v>
      </c>
      <c r="L363" s="7">
        <f>K363/K361*100-100</f>
        <v>8.2245616761194213</v>
      </c>
      <c r="M363"/>
      <c r="N363"/>
      <c r="O363"/>
      <c r="P363"/>
      <c r="Q363"/>
    </row>
    <row r="364" spans="2:17" s="8" customFormat="1" ht="34.9" hidden="1" customHeight="1">
      <c r="B364" s="15">
        <v>45689</v>
      </c>
      <c r="C364" s="11">
        <v>6983.09</v>
      </c>
      <c r="D364" s="11">
        <f>C364/C363*100-100</f>
        <v>0.52847670297336435</v>
      </c>
      <c r="E364" s="11">
        <v>1413.31</v>
      </c>
      <c r="F364" s="11">
        <f>E364/E363*100-100</f>
        <v>2.3878001956025656</v>
      </c>
      <c r="G364" s="11">
        <v>894.37</v>
      </c>
      <c r="H364" s="11">
        <f>G364/G363*100-100</f>
        <v>0.34894419136952592</v>
      </c>
      <c r="I364" s="11">
        <v>7274.2</v>
      </c>
      <c r="J364" s="11">
        <f>I364/I363*100-100</f>
        <v>-3.8530422128260255</v>
      </c>
      <c r="K364" s="11">
        <v>4948.8</v>
      </c>
      <c r="L364" s="11">
        <f>K364/K363*100-100</f>
        <v>-1.3131524632825773</v>
      </c>
      <c r="M364"/>
      <c r="N364"/>
      <c r="O364"/>
      <c r="P364"/>
      <c r="Q364"/>
    </row>
    <row r="365" spans="2:17" s="8" customFormat="1" ht="34.9" hidden="1" customHeight="1">
      <c r="B365" s="14">
        <v>45717</v>
      </c>
      <c r="C365" s="7">
        <v>6979.77</v>
      </c>
      <c r="D365" s="7">
        <f>C365/C364*100-100</f>
        <v>-4.7543422754102949E-2</v>
      </c>
      <c r="E365" s="7">
        <v>1467.4</v>
      </c>
      <c r="F365" s="7">
        <f>E365/E364*100-100</f>
        <v>3.8271858261811076</v>
      </c>
      <c r="G365" s="7">
        <v>892.56</v>
      </c>
      <c r="H365" s="7">
        <f>G365/G364*100-100</f>
        <v>-0.20237709225489198</v>
      </c>
      <c r="I365" s="7">
        <v>7863.9</v>
      </c>
      <c r="J365" s="7">
        <f>I365/I364*100-100</f>
        <v>8.106733386489239</v>
      </c>
      <c r="K365" s="7">
        <v>5112.34</v>
      </c>
      <c r="L365" s="7">
        <f>K365/K364*100-100</f>
        <v>3.304639508567746</v>
      </c>
      <c r="M365"/>
      <c r="N365"/>
      <c r="O365"/>
      <c r="P365"/>
      <c r="Q365"/>
    </row>
    <row r="366" spans="2:17" s="18" customFormat="1" ht="34.9" hidden="1" customHeight="1">
      <c r="B366" s="15">
        <v>45748</v>
      </c>
      <c r="C366" s="11">
        <v>6542.14</v>
      </c>
      <c r="D366" s="11">
        <f t="shared" ref="D366" si="6">C366/C365*100-100</f>
        <v>-6.2699773774780567</v>
      </c>
      <c r="E366" s="11">
        <v>1462.57</v>
      </c>
      <c r="F366" s="11">
        <f t="shared" ref="F366:F367" si="7">E366/E365*100-100</f>
        <v>-0.32915360501569069</v>
      </c>
      <c r="G366" s="11">
        <v>865.16</v>
      </c>
      <c r="H366" s="11">
        <f t="shared" ref="H366:H367" si="8">G366/G365*100-100</f>
        <v>-3.0698216366406683</v>
      </c>
      <c r="I366" s="11">
        <v>7062.71</v>
      </c>
      <c r="J366" s="11">
        <f t="shared" ref="J366:J367" si="9">I366/I365*100-100</f>
        <v>-10.18820178283039</v>
      </c>
      <c r="K366" s="11">
        <v>4726.3900000000003</v>
      </c>
      <c r="L366" s="11">
        <f t="shared" ref="L366:L373" si="10">K366/K365*100-100</f>
        <v>-7.5493805185101053</v>
      </c>
    </row>
    <row r="367" spans="2:17" s="18" customFormat="1" ht="34.9" hidden="1" customHeight="1">
      <c r="B367" s="14">
        <v>45778</v>
      </c>
      <c r="C367" s="7">
        <v>7276.41</v>
      </c>
      <c r="D367" s="7">
        <f t="shared" ref="D367:D373" si="11">C367/C366*100-100</f>
        <v>11.223697444567065</v>
      </c>
      <c r="E367" s="7">
        <v>1582.1</v>
      </c>
      <c r="F367" s="7">
        <f t="shared" si="7"/>
        <v>8.1726002857982962</v>
      </c>
      <c r="G367" s="7">
        <v>898.28</v>
      </c>
      <c r="H367" s="7">
        <f t="shared" si="8"/>
        <v>3.8281936289241258</v>
      </c>
      <c r="I367" s="7">
        <v>7732.35</v>
      </c>
      <c r="J367" s="7">
        <f t="shared" si="9"/>
        <v>9.4813463953638148</v>
      </c>
      <c r="K367" s="7">
        <v>5185.42</v>
      </c>
      <c r="L367" s="7">
        <f t="shared" si="10"/>
        <v>9.7120635410958442</v>
      </c>
    </row>
    <row r="368" spans="2:17" s="18" customFormat="1" ht="34.9" hidden="1" customHeight="1">
      <c r="B368" s="15">
        <v>45810</v>
      </c>
      <c r="C368" s="11">
        <v>7531.28</v>
      </c>
      <c r="D368" s="11">
        <f t="shared" si="11"/>
        <v>3.5026888259457536</v>
      </c>
      <c r="E368" s="11">
        <v>1615.11</v>
      </c>
      <c r="F368" s="11">
        <f t="shared" ref="F368:F373" si="12">E368/E367*100-100</f>
        <v>2.0864673535174774</v>
      </c>
      <c r="G368" s="11">
        <v>920.27</v>
      </c>
      <c r="H368" s="11">
        <f t="shared" ref="H368:H373" si="13">G368/G367*100-100</f>
        <v>2.4480117557999819</v>
      </c>
      <c r="I368" s="11">
        <v>8698.4599999999991</v>
      </c>
      <c r="J368" s="11">
        <f t="shared" ref="J368:J373" si="14">I368/I367*100-100</f>
        <v>12.494390450509869</v>
      </c>
      <c r="K368" s="11">
        <v>5556.37</v>
      </c>
      <c r="L368" s="11">
        <f t="shared" si="10"/>
        <v>7.1537117533391665</v>
      </c>
    </row>
    <row r="369" spans="2:17" s="8" customFormat="1" ht="34.9" hidden="1" customHeight="1">
      <c r="B369" s="14">
        <v>45863</v>
      </c>
      <c r="C369" s="7">
        <v>7809.56</v>
      </c>
      <c r="D369" s="7">
        <f t="shared" si="11"/>
        <v>3.694989430747512</v>
      </c>
      <c r="E369" s="7">
        <v>1681.14</v>
      </c>
      <c r="F369" s="7">
        <f t="shared" si="12"/>
        <v>4.0882664338652006</v>
      </c>
      <c r="G369" s="7">
        <v>942.26</v>
      </c>
      <c r="H369" s="7">
        <f t="shared" si="13"/>
        <v>2.3895161202690502</v>
      </c>
      <c r="I369" s="7">
        <v>9558.9</v>
      </c>
      <c r="J369" s="7">
        <f t="shared" si="14"/>
        <v>9.8918659164955756</v>
      </c>
      <c r="K369" s="7">
        <v>5910.05</v>
      </c>
      <c r="L369" s="7">
        <f t="shared" si="10"/>
        <v>6.3653068460163666</v>
      </c>
      <c r="M369"/>
      <c r="N369"/>
      <c r="O369"/>
      <c r="P369"/>
      <c r="Q369"/>
    </row>
    <row r="370" spans="2:17" s="8" customFormat="1" ht="34.9" customHeight="1">
      <c r="B370" s="15">
        <v>45894</v>
      </c>
      <c r="C370" s="11">
        <v>7888.29</v>
      </c>
      <c r="D370" s="11">
        <f t="shared" si="11"/>
        <v>1.0081233769892322</v>
      </c>
      <c r="E370" s="11">
        <v>1684.69</v>
      </c>
      <c r="F370" s="11">
        <f t="shared" si="12"/>
        <v>0.2111662324375061</v>
      </c>
      <c r="G370" s="11">
        <v>949.15</v>
      </c>
      <c r="H370" s="11">
        <f t="shared" si="13"/>
        <v>0.73122068218962966</v>
      </c>
      <c r="I370" s="11">
        <v>9795.5</v>
      </c>
      <c r="J370" s="11">
        <f t="shared" si="14"/>
        <v>2.4751801985584194</v>
      </c>
      <c r="K370" s="11">
        <v>6006.32</v>
      </c>
      <c r="L370" s="11">
        <f t="shared" si="10"/>
        <v>1.6289202291012543</v>
      </c>
      <c r="M370"/>
      <c r="N370"/>
      <c r="O370"/>
      <c r="P370"/>
      <c r="Q370"/>
    </row>
    <row r="371" spans="2:17" s="8" customFormat="1" ht="34.9" customHeight="1">
      <c r="B371" s="14">
        <v>45925</v>
      </c>
      <c r="C371" s="7">
        <v>7882.89</v>
      </c>
      <c r="D371" s="7">
        <f t="shared" si="11"/>
        <v>-6.8455901088825044E-2</v>
      </c>
      <c r="E371" s="7">
        <v>1696.15</v>
      </c>
      <c r="F371" s="7">
        <f t="shared" si="12"/>
        <v>0.68024384308091612</v>
      </c>
      <c r="G371" s="7">
        <v>972.77</v>
      </c>
      <c r="H371" s="7">
        <f t="shared" si="13"/>
        <v>2.4885423800242279</v>
      </c>
      <c r="I371" s="7">
        <v>10152.93</v>
      </c>
      <c r="J371" s="7">
        <f t="shared" si="14"/>
        <v>3.6489204226430445</v>
      </c>
      <c r="K371" s="7">
        <v>6117.43</v>
      </c>
      <c r="L371" s="7">
        <f t="shared" si="10"/>
        <v>1.8498847880232745</v>
      </c>
      <c r="M371"/>
      <c r="N371"/>
      <c r="O371"/>
      <c r="P371"/>
      <c r="Q371"/>
    </row>
    <row r="372" spans="2:17" s="8" customFormat="1" ht="34.9" customHeight="1">
      <c r="B372" s="15">
        <v>45955</v>
      </c>
      <c r="C372" s="11">
        <v>8878.83</v>
      </c>
      <c r="D372" s="11">
        <f t="shared" si="11"/>
        <v>12.634198878837594</v>
      </c>
      <c r="E372" s="11">
        <v>1730.92</v>
      </c>
      <c r="F372" s="11">
        <f t="shared" si="12"/>
        <v>2.0499366211714829</v>
      </c>
      <c r="G372" s="11">
        <v>1016.78</v>
      </c>
      <c r="H372" s="11">
        <f t="shared" si="13"/>
        <v>4.5241937970948953</v>
      </c>
      <c r="I372" s="11">
        <v>10707.96</v>
      </c>
      <c r="J372" s="11">
        <f t="shared" si="14"/>
        <v>5.4666977906870073</v>
      </c>
      <c r="K372" s="11">
        <v>6630.67</v>
      </c>
      <c r="L372" s="11">
        <f t="shared" si="10"/>
        <v>8.3897976764752542</v>
      </c>
      <c r="M372"/>
      <c r="N372"/>
      <c r="O372"/>
      <c r="P372"/>
      <c r="Q372"/>
    </row>
    <row r="373" spans="2:17" s="8" customFormat="1" ht="34.9" customHeight="1">
      <c r="B373" s="14">
        <v>45986</v>
      </c>
      <c r="C373" s="7">
        <v>9240.2099999999991</v>
      </c>
      <c r="D373" s="7">
        <f t="shared" si="11"/>
        <v>4.0701308618365175</v>
      </c>
      <c r="E373" s="7">
        <v>1759.49</v>
      </c>
      <c r="F373" s="7">
        <f t="shared" si="12"/>
        <v>1.6505673283571838</v>
      </c>
      <c r="G373" s="7">
        <v>1031</v>
      </c>
      <c r="H373" s="7">
        <f t="shared" si="13"/>
        <v>1.3985326225928816</v>
      </c>
      <c r="I373" s="7">
        <v>11025.98</v>
      </c>
      <c r="J373" s="7">
        <f t="shared" si="14"/>
        <v>2.9699401193131081</v>
      </c>
      <c r="K373" s="7">
        <v>6847.09</v>
      </c>
      <c r="L373" s="7">
        <f t="shared" si="10"/>
        <v>3.2639235552365022</v>
      </c>
      <c r="M373"/>
      <c r="N373"/>
      <c r="O373"/>
      <c r="P373"/>
      <c r="Q373"/>
    </row>
    <row r="374" spans="2:17" s="8" customFormat="1" ht="34.9" customHeight="1">
      <c r="B374" s="60">
        <v>46016</v>
      </c>
      <c r="C374" s="62">
        <v>9443.64</v>
      </c>
      <c r="D374" s="62">
        <f>C374/C373*100-100</f>
        <v>2.2015733408656359</v>
      </c>
      <c r="E374" s="62">
        <v>1783.24</v>
      </c>
      <c r="F374" s="62">
        <f>E374/E373*100-100</f>
        <v>1.3498229600622977</v>
      </c>
      <c r="G374" s="62">
        <v>1087.75</v>
      </c>
      <c r="H374" s="62">
        <f>G374/G373*100-100</f>
        <v>5.5043646944713913</v>
      </c>
      <c r="I374" s="62">
        <v>11403.03</v>
      </c>
      <c r="J374" s="62">
        <f>I374/I373*100-100</f>
        <v>3.4196506795767903</v>
      </c>
      <c r="K374" s="62">
        <v>7056.03</v>
      </c>
      <c r="L374" s="62">
        <f>K374/K373*100-100</f>
        <v>3.0515153152653056</v>
      </c>
      <c r="M374"/>
      <c r="N374"/>
      <c r="O374"/>
      <c r="P374"/>
      <c r="Q374"/>
    </row>
    <row r="375" spans="2:17" s="18" customFormat="1" ht="34.9" customHeight="1">
      <c r="B375" s="135">
        <v>2026</v>
      </c>
      <c r="C375" s="136"/>
      <c r="D375" s="136"/>
      <c r="E375" s="137"/>
      <c r="F375" s="137"/>
      <c r="G375" s="137"/>
      <c r="H375" s="137"/>
      <c r="I375" s="137"/>
      <c r="J375" s="137"/>
      <c r="K375" s="137"/>
      <c r="L375" s="137"/>
      <c r="M375"/>
      <c r="N375"/>
      <c r="O375"/>
      <c r="P375"/>
      <c r="Q375"/>
    </row>
    <row r="376" spans="2:17" s="8" customFormat="1" ht="34.9" customHeight="1">
      <c r="B376" s="14">
        <v>46023</v>
      </c>
      <c r="C376" s="7">
        <v>9285.73</v>
      </c>
      <c r="D376" s="7">
        <f>C376/C374*100-100</f>
        <v>-1.672130661482214</v>
      </c>
      <c r="E376" s="7">
        <v>1793.68</v>
      </c>
      <c r="F376" s="7">
        <f>E376/E374*100-100</f>
        <v>0.58545120118435534</v>
      </c>
      <c r="G376" s="7">
        <v>1075.83</v>
      </c>
      <c r="H376" s="7">
        <f>G376/G374*100-100</f>
        <v>-1.0958400367731684</v>
      </c>
      <c r="I376" s="7">
        <v>11354.28</v>
      </c>
      <c r="J376" s="7">
        <f>I376/I374*100-100</f>
        <v>-0.42751794917667496</v>
      </c>
      <c r="K376" s="7">
        <v>6983.61</v>
      </c>
      <c r="L376" s="7">
        <f>K376/K374*100-100</f>
        <v>-1.0263561804584214</v>
      </c>
      <c r="M376"/>
      <c r="N376"/>
      <c r="O376"/>
      <c r="P376"/>
      <c r="Q376"/>
    </row>
    <row r="377" spans="2:17" s="8" customFormat="1" ht="34.9" customHeight="1">
      <c r="B377" s="15">
        <v>46054</v>
      </c>
      <c r="C377" s="11">
        <v>9222.06</v>
      </c>
      <c r="D377" s="11">
        <f>C377/C376*100-100</f>
        <v>-0.6856757627025587</v>
      </c>
      <c r="E377" s="11">
        <v>1780.24</v>
      </c>
      <c r="F377" s="11">
        <f>E377/E376*100-100</f>
        <v>-0.74929753356228446</v>
      </c>
      <c r="G377" s="11">
        <v>1100.73</v>
      </c>
      <c r="H377" s="11">
        <f>G377/G376*100-100</f>
        <v>2.3144920665904465</v>
      </c>
      <c r="I377" s="11">
        <v>12214.14</v>
      </c>
      <c r="J377" s="11">
        <f>I377/I376*100-100</f>
        <v>7.5730033080036492</v>
      </c>
      <c r="K377" s="11">
        <v>7218.45</v>
      </c>
      <c r="L377" s="11">
        <f>K377/K376*100-100</f>
        <v>3.3627307366820247</v>
      </c>
      <c r="M377"/>
      <c r="N377"/>
      <c r="O377"/>
      <c r="P377"/>
      <c r="Q377"/>
    </row>
    <row r="378" spans="2:17" s="8" customFormat="1" ht="34.9" customHeight="1">
      <c r="B378" s="14">
        <v>46082</v>
      </c>
      <c r="C378" s="7">
        <v>8991.5499999999993</v>
      </c>
      <c r="D378" s="7">
        <f>C378/C377*100-100</f>
        <v>-2.4995499920841979</v>
      </c>
      <c r="E378" s="7">
        <v>1834.08</v>
      </c>
      <c r="F378" s="7">
        <f>E378/E377*100-100</f>
        <v>3.0243113288096026</v>
      </c>
      <c r="G378" s="7">
        <v>1110.32</v>
      </c>
      <c r="H378" s="7">
        <f>G378/G377*100-100</f>
        <v>0.87123999527585738</v>
      </c>
      <c r="I378" s="7">
        <v>13227.34</v>
      </c>
      <c r="J378" s="7">
        <f>I378/I377*100-100</f>
        <v>8.2953036398796911</v>
      </c>
      <c r="K378" s="7">
        <v>7433.84</v>
      </c>
      <c r="L378" s="7">
        <f>K378/K377*100-100</f>
        <v>2.9838815812258872</v>
      </c>
      <c r="M378"/>
      <c r="N378"/>
      <c r="O378"/>
      <c r="P378"/>
      <c r="Q378"/>
    </row>
    <row r="379" spans="2:17" s="8" customFormat="1" ht="34.9" customHeight="1">
      <c r="B379" s="15">
        <v>46113</v>
      </c>
      <c r="C379" s="11">
        <v>9561.89</v>
      </c>
      <c r="D379" s="11">
        <f t="shared" ref="D379:D381" si="15">C379/C378*100-100</f>
        <v>6.3430665458124764</v>
      </c>
      <c r="E379" s="11">
        <v>1906.46</v>
      </c>
      <c r="F379" s="11">
        <f t="shared" ref="F379:F381" si="16">E379/E378*100-100</f>
        <v>3.9463927418651394</v>
      </c>
      <c r="G379" s="11">
        <v>1219.08</v>
      </c>
      <c r="H379" s="11">
        <f t="shared" ref="H379:H381" si="17">G379/G378*100-100</f>
        <v>9.7953743065062326</v>
      </c>
      <c r="I379" s="11">
        <v>13733.14</v>
      </c>
      <c r="J379" s="11">
        <f t="shared" ref="J379:J381" si="18">I379/I378*100-100</f>
        <v>3.8238980777692149</v>
      </c>
      <c r="K379" s="11">
        <v>7837.67</v>
      </c>
      <c r="L379" s="11">
        <f t="shared" ref="L379:L381" si="19">K379/K378*100-100</f>
        <v>5.4323203082121694</v>
      </c>
      <c r="M379"/>
      <c r="N379"/>
      <c r="O379"/>
      <c r="P379"/>
      <c r="Q379"/>
    </row>
    <row r="380" spans="2:17" s="8" customFormat="1" ht="34.9" customHeight="1">
      <c r="B380" s="14">
        <v>46143</v>
      </c>
      <c r="C380" s="7">
        <v>10236.83</v>
      </c>
      <c r="D380" s="7">
        <f t="shared" si="15"/>
        <v>7.0586463554799508</v>
      </c>
      <c r="E380" s="7">
        <v>1952.51</v>
      </c>
      <c r="F380" s="7">
        <f t="shared" si="16"/>
        <v>2.415471607062301</v>
      </c>
      <c r="G380" s="7">
        <v>1173.1099999999999</v>
      </c>
      <c r="H380" s="7">
        <f t="shared" si="17"/>
        <v>-3.770876398595675</v>
      </c>
      <c r="I380" s="7">
        <v>14414.43</v>
      </c>
      <c r="J380" s="7">
        <f t="shared" si="18"/>
        <v>4.9609193527481779</v>
      </c>
      <c r="K380" s="7">
        <v>8223.84</v>
      </c>
      <c r="L380" s="7">
        <f t="shared" si="19"/>
        <v>4.9271020596682433</v>
      </c>
      <c r="M380"/>
      <c r="N380"/>
      <c r="O380"/>
      <c r="P380"/>
      <c r="Q380"/>
    </row>
    <row r="381" spans="2:17" s="8" customFormat="1" ht="34.9" customHeight="1">
      <c r="B381" s="15">
        <v>46175</v>
      </c>
      <c r="C381" s="11">
        <v>9780.58</v>
      </c>
      <c r="D381" s="11">
        <f t="shared" si="15"/>
        <v>-4.4569461444607441</v>
      </c>
      <c r="E381" s="11">
        <v>1976.33</v>
      </c>
      <c r="F381" s="11">
        <f t="shared" si="16"/>
        <v>1.2199681435690337</v>
      </c>
      <c r="G381" s="11">
        <v>1136.54</v>
      </c>
      <c r="H381" s="11">
        <f t="shared" si="17"/>
        <v>-3.1173547237684431</v>
      </c>
      <c r="I381" s="11">
        <v>12508.62</v>
      </c>
      <c r="J381" s="11">
        <f t="shared" si="18"/>
        <v>-13.221542579207082</v>
      </c>
      <c r="K381" s="11">
        <v>7517.19</v>
      </c>
      <c r="L381" s="11">
        <f t="shared" si="19"/>
        <v>-8.5927012198680899</v>
      </c>
      <c r="M381"/>
      <c r="N381"/>
      <c r="O381"/>
      <c r="P381"/>
      <c r="Q381"/>
    </row>
    <row r="382" spans="2:17" s="8" customFormat="1" ht="34.9" customHeight="1">
      <c r="B382" s="14">
        <v>46229</v>
      </c>
      <c r="C382" s="7">
        <v>10355.16</v>
      </c>
      <c r="D382" s="7">
        <f t="shared" ref="D382" si="20">C382/C381*100-100</f>
        <v>5.8747027272411287</v>
      </c>
      <c r="E382" s="7">
        <v>2019.75</v>
      </c>
      <c r="F382" s="7">
        <f t="shared" ref="F382" si="21">E382/E381*100-100</f>
        <v>2.1970015129052314</v>
      </c>
      <c r="G382" s="7">
        <v>1219.75</v>
      </c>
      <c r="H382" s="7">
        <f t="shared" ref="H382" si="22">G382/G381*100-100</f>
        <v>7.3213437274534954</v>
      </c>
      <c r="I382" s="7">
        <v>12311.8</v>
      </c>
      <c r="J382" s="7">
        <f t="shared" ref="J382" si="23">I382/I381*100-100</f>
        <v>-1.5734749316871302</v>
      </c>
      <c r="K382" s="7">
        <v>7705</v>
      </c>
      <c r="L382" s="7">
        <f t="shared" ref="F382:L383" si="24">K382/K381*100-100</f>
        <v>2.49840698452482</v>
      </c>
      <c r="M382"/>
      <c r="N382"/>
      <c r="O382"/>
      <c r="P382"/>
      <c r="Q382"/>
    </row>
    <row r="383" spans="2:17" s="8" customFormat="1" ht="34.9" customHeight="1">
      <c r="B383" s="60">
        <v>46252</v>
      </c>
      <c r="C383" s="62">
        <v>9934.66</v>
      </c>
      <c r="D383" s="62">
        <f>C383/C382*100-100</f>
        <v>-4.0607774288374117</v>
      </c>
      <c r="E383" s="62">
        <v>2138</v>
      </c>
      <c r="F383" s="62">
        <f t="shared" si="24"/>
        <v>5.8546849857655587</v>
      </c>
      <c r="G383" s="62">
        <v>1261.29</v>
      </c>
      <c r="H383" s="62">
        <f t="shared" si="24"/>
        <v>3.4056159048985393</v>
      </c>
      <c r="I383" s="62">
        <v>13243.13</v>
      </c>
      <c r="J383" s="62">
        <f t="shared" si="24"/>
        <v>7.5645315875826356</v>
      </c>
      <c r="K383" s="62">
        <v>7852.94</v>
      </c>
      <c r="L383" s="62">
        <f t="shared" si="24"/>
        <v>1.9200519143413288</v>
      </c>
      <c r="M383"/>
      <c r="N383"/>
      <c r="O383"/>
      <c r="P383"/>
      <c r="Q383"/>
    </row>
    <row r="384" spans="2:17" s="18" customFormat="1" ht="9.75" customHeight="1">
      <c r="B384" s="71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/>
      <c r="N384"/>
      <c r="O384"/>
      <c r="P384"/>
      <c r="Q384"/>
    </row>
    <row r="385" spans="2:17" s="78" customFormat="1" ht="30" customHeight="1">
      <c r="B385" s="78" t="s">
        <v>67</v>
      </c>
      <c r="L385" s="78" t="s">
        <v>93</v>
      </c>
      <c r="M385"/>
      <c r="N385"/>
      <c r="O385"/>
      <c r="P385"/>
      <c r="Q385"/>
    </row>
    <row r="386" spans="2:17" s="82" customFormat="1" ht="40.5" customHeight="1">
      <c r="B386" s="161" t="s">
        <v>150</v>
      </c>
      <c r="C386" s="161"/>
      <c r="D386" s="161"/>
      <c r="E386" s="161"/>
      <c r="F386" s="161"/>
      <c r="G386" s="174" t="s">
        <v>154</v>
      </c>
      <c r="H386" s="174"/>
      <c r="I386" s="174"/>
      <c r="J386" s="174"/>
      <c r="K386" s="174"/>
      <c r="L386" s="174"/>
    </row>
  </sheetData>
  <mergeCells count="21">
    <mergeCell ref="N3:P3"/>
    <mergeCell ref="C8:D8"/>
    <mergeCell ref="E8:F8"/>
    <mergeCell ref="G8:H8"/>
    <mergeCell ref="I8:J8"/>
    <mergeCell ref="K8:L8"/>
    <mergeCell ref="I7:J7"/>
    <mergeCell ref="G7:H7"/>
    <mergeCell ref="E7:F7"/>
    <mergeCell ref="C7:D7"/>
    <mergeCell ref="K7:L7"/>
    <mergeCell ref="B3:C3"/>
    <mergeCell ref="D3:J3"/>
    <mergeCell ref="K5:L5"/>
    <mergeCell ref="K3:L3"/>
    <mergeCell ref="B7:B10"/>
    <mergeCell ref="D4:J4"/>
    <mergeCell ref="D5:J5"/>
    <mergeCell ref="K4:L4"/>
    <mergeCell ref="B386:F386"/>
    <mergeCell ref="G386:L386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P76"/>
  <sheetViews>
    <sheetView rightToLeft="1" zoomScale="40" zoomScaleNormal="40" workbookViewId="0">
      <selection activeCell="E2" sqref="E2:M2"/>
    </sheetView>
  </sheetViews>
  <sheetFormatPr defaultColWidth="9.140625" defaultRowHeight="15.75"/>
  <cols>
    <col min="1" max="1" width="10.7109375" customWidth="1"/>
    <col min="2" max="2" width="25.7109375" style="1" customWidth="1"/>
    <col min="3" max="16" width="30.7109375" style="1" customWidth="1"/>
    <col min="17" max="17" width="13.7109375" customWidth="1"/>
  </cols>
  <sheetData>
    <row r="1" spans="2:16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2:16" s="82" customFormat="1" ht="40.15" customHeight="1">
      <c r="B2" s="207" t="s">
        <v>130</v>
      </c>
      <c r="C2" s="207"/>
      <c r="D2" s="207"/>
      <c r="E2" s="164" t="s">
        <v>104</v>
      </c>
      <c r="F2" s="164"/>
      <c r="G2" s="164"/>
      <c r="H2" s="164"/>
      <c r="I2" s="164"/>
      <c r="J2" s="164"/>
      <c r="K2" s="164"/>
      <c r="L2" s="164"/>
      <c r="M2" s="164"/>
      <c r="N2" s="112"/>
      <c r="O2" s="214" t="s">
        <v>106</v>
      </c>
      <c r="P2" s="214"/>
    </row>
    <row r="3" spans="2:16" s="82" customFormat="1" ht="40.15" customHeight="1">
      <c r="B3" s="206"/>
      <c r="C3" s="165" t="s">
        <v>145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14" t="s">
        <v>141</v>
      </c>
    </row>
    <row r="4" spans="2:16" s="82" customFormat="1" ht="40.15" customHeight="1">
      <c r="B4" s="206"/>
      <c r="C4" s="213" t="s">
        <v>147</v>
      </c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113" t="s">
        <v>142</v>
      </c>
    </row>
    <row r="5" spans="2:16" s="82" customFormat="1" ht="10.15" customHeight="1">
      <c r="B5" s="68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3"/>
    </row>
    <row r="6" spans="2:16" ht="129.94999999999999" customHeight="1">
      <c r="B6" s="46"/>
      <c r="C6" s="209" t="s">
        <v>85</v>
      </c>
      <c r="D6" s="210"/>
      <c r="E6" s="210"/>
      <c r="F6" s="210"/>
      <c r="G6" s="211"/>
      <c r="H6" s="209" t="s">
        <v>86</v>
      </c>
      <c r="I6" s="210"/>
      <c r="J6" s="210"/>
      <c r="K6" s="210"/>
      <c r="L6" s="210"/>
      <c r="M6" s="210"/>
      <c r="N6" s="210"/>
      <c r="O6" s="210"/>
      <c r="P6" s="212"/>
    </row>
    <row r="7" spans="2:16" ht="129.94999999999999" customHeight="1">
      <c r="B7" s="30"/>
      <c r="C7" s="145"/>
      <c r="D7" s="144" t="s">
        <v>26</v>
      </c>
      <c r="E7" s="109" t="s">
        <v>25</v>
      </c>
      <c r="F7" s="109" t="s">
        <v>24</v>
      </c>
      <c r="G7" s="146" t="s">
        <v>23</v>
      </c>
      <c r="H7" s="145"/>
      <c r="I7" s="144" t="s">
        <v>21</v>
      </c>
      <c r="J7" s="109" t="s">
        <v>20</v>
      </c>
      <c r="K7" s="109" t="s">
        <v>19</v>
      </c>
      <c r="L7" s="109" t="s">
        <v>18</v>
      </c>
      <c r="M7" s="109" t="s">
        <v>17</v>
      </c>
      <c r="N7" s="109" t="s">
        <v>16</v>
      </c>
      <c r="O7" s="109" t="s">
        <v>15</v>
      </c>
      <c r="P7" s="110" t="s">
        <v>14</v>
      </c>
    </row>
    <row r="8" spans="2:16" ht="50.1" customHeight="1">
      <c r="B8" s="31"/>
      <c r="C8" s="28"/>
      <c r="D8" s="28"/>
      <c r="E8" s="28"/>
      <c r="F8" s="28"/>
      <c r="G8" s="28"/>
      <c r="H8" s="143"/>
      <c r="I8" s="28"/>
      <c r="J8" s="28"/>
      <c r="K8" s="28"/>
      <c r="L8" s="28"/>
      <c r="M8" s="28"/>
      <c r="N8" s="28"/>
      <c r="O8" s="28"/>
      <c r="P8" s="47"/>
    </row>
    <row r="9" spans="2:16" ht="129.94999999999999" customHeight="1">
      <c r="B9" s="33"/>
      <c r="C9" s="80"/>
      <c r="D9" s="80" t="s">
        <v>12</v>
      </c>
      <c r="E9" s="80" t="s">
        <v>11</v>
      </c>
      <c r="F9" s="80" t="s">
        <v>10</v>
      </c>
      <c r="G9" s="80" t="s">
        <v>9</v>
      </c>
      <c r="H9" s="80"/>
      <c r="I9" s="80" t="s">
        <v>7</v>
      </c>
      <c r="J9" s="80" t="s">
        <v>6</v>
      </c>
      <c r="K9" s="80" t="s">
        <v>68</v>
      </c>
      <c r="L9" s="80" t="s">
        <v>4</v>
      </c>
      <c r="M9" s="80" t="s">
        <v>108</v>
      </c>
      <c r="N9" s="80" t="s">
        <v>3</v>
      </c>
      <c r="O9" s="80" t="s">
        <v>2</v>
      </c>
      <c r="P9" s="81" t="s">
        <v>1</v>
      </c>
    </row>
    <row r="10" spans="2:16" ht="53.45" customHeight="1">
      <c r="B10" s="26" t="s">
        <v>79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2:16" s="111" customFormat="1" ht="75" customHeight="1">
      <c r="B11" s="16">
        <v>2008</v>
      </c>
      <c r="C11" s="17">
        <v>7.9268791929221383</v>
      </c>
      <c r="D11" s="147">
        <v>10.890968054013323</v>
      </c>
      <c r="E11" s="147">
        <v>2.2000000000000002</v>
      </c>
      <c r="F11" s="147">
        <v>-3.4672310962602482</v>
      </c>
      <c r="G11" s="147">
        <v>1.7271410462661574</v>
      </c>
      <c r="H11" s="17">
        <v>8.6221151831572485</v>
      </c>
      <c r="I11" s="147">
        <v>-0.91396496898591451</v>
      </c>
      <c r="J11" s="147">
        <v>10.488281968667215</v>
      </c>
      <c r="K11" s="147">
        <v>5.9023170743718234</v>
      </c>
      <c r="L11" s="147">
        <v>-5.4844864519518914</v>
      </c>
      <c r="M11" s="147">
        <v>22.394979474571137</v>
      </c>
      <c r="N11" s="147">
        <v>20.749538376090651</v>
      </c>
      <c r="O11" s="147">
        <v>6.9221508477210492</v>
      </c>
      <c r="P11" s="147">
        <v>5.2488642536994119</v>
      </c>
    </row>
    <row r="12" spans="2:16" s="111" customFormat="1" ht="75" customHeight="1">
      <c r="B12" s="116">
        <v>2009</v>
      </c>
      <c r="C12" s="117">
        <v>3.1827036864628186</v>
      </c>
      <c r="D12" s="148">
        <v>7.4665150543895136</v>
      </c>
      <c r="E12" s="148">
        <v>-0.6</v>
      </c>
      <c r="F12" s="148">
        <v>-13.254359590357279</v>
      </c>
      <c r="G12" s="148">
        <v>-9.9866792990344262</v>
      </c>
      <c r="H12" s="117">
        <v>8.803037158840235</v>
      </c>
      <c r="I12" s="148">
        <v>-3.2746596041950746</v>
      </c>
      <c r="J12" s="148">
        <v>11.913772847104804</v>
      </c>
      <c r="K12" s="148">
        <v>3.820287477434082</v>
      </c>
      <c r="L12" s="148">
        <v>13.440597832688097</v>
      </c>
      <c r="M12" s="148">
        <v>19.282038218715009</v>
      </c>
      <c r="N12" s="148">
        <v>10.701549868534732</v>
      </c>
      <c r="O12" s="148">
        <v>9.2058888289864917</v>
      </c>
      <c r="P12" s="148">
        <v>0.22338775619058432</v>
      </c>
    </row>
    <row r="13" spans="2:16" s="111" customFormat="1" ht="75" customHeight="1">
      <c r="B13" s="16">
        <v>2010</v>
      </c>
      <c r="C13" s="17">
        <v>3.5</v>
      </c>
      <c r="D13" s="147">
        <v>6.6308090992532733</v>
      </c>
      <c r="E13" s="147">
        <v>2.7</v>
      </c>
      <c r="F13" s="147">
        <v>-16.3</v>
      </c>
      <c r="G13" s="147">
        <v>-2.9</v>
      </c>
      <c r="H13" s="17">
        <v>8.6</v>
      </c>
      <c r="I13" s="147">
        <v>2.6762462655315162</v>
      </c>
      <c r="J13" s="147">
        <v>17.103778285308898</v>
      </c>
      <c r="K13" s="147">
        <v>2.7759417264043109</v>
      </c>
      <c r="L13" s="147">
        <v>5.0084708701244027</v>
      </c>
      <c r="M13" s="147">
        <v>21.994006063564257</v>
      </c>
      <c r="N13" s="147">
        <v>10.597036861883481</v>
      </c>
      <c r="O13" s="147">
        <v>9.6</v>
      </c>
      <c r="P13" s="147">
        <v>0.5</v>
      </c>
    </row>
    <row r="14" spans="2:16" s="111" customFormat="1" ht="75" customHeight="1">
      <c r="B14" s="116">
        <v>2011</v>
      </c>
      <c r="C14" s="117">
        <v>4.3</v>
      </c>
      <c r="D14" s="148">
        <v>8.0047939242367434</v>
      </c>
      <c r="E14" s="148">
        <v>-1.9</v>
      </c>
      <c r="F14" s="148">
        <v>-4.9000000000000004</v>
      </c>
      <c r="G14" s="148">
        <v>-17.899999999999999</v>
      </c>
      <c r="H14" s="117">
        <v>5.7</v>
      </c>
      <c r="I14" s="148">
        <v>1.8</v>
      </c>
      <c r="J14" s="148">
        <v>17.256038505205499</v>
      </c>
      <c r="K14" s="148">
        <v>0.33089977583083691</v>
      </c>
      <c r="L14" s="148">
        <v>-32.6</v>
      </c>
      <c r="M14" s="148">
        <v>21.1</v>
      </c>
      <c r="N14" s="148">
        <v>-2.7933175239941384</v>
      </c>
      <c r="O14" s="148">
        <v>16.8</v>
      </c>
      <c r="P14" s="148">
        <v>4.5999999999999996</v>
      </c>
    </row>
    <row r="15" spans="2:16" s="111" customFormat="1" ht="75" customHeight="1">
      <c r="B15" s="132">
        <v>2012</v>
      </c>
      <c r="C15" s="117">
        <v>6.5</v>
      </c>
      <c r="D15" s="148">
        <v>8.3161303726820268</v>
      </c>
      <c r="E15" s="148">
        <v>1.8</v>
      </c>
      <c r="F15" s="148">
        <v>-1.8</v>
      </c>
      <c r="G15" s="148">
        <v>-2.4</v>
      </c>
      <c r="H15" s="117">
        <v>9.6</v>
      </c>
      <c r="I15" s="148">
        <v>8.5</v>
      </c>
      <c r="J15" s="148">
        <v>18.100000000000001</v>
      </c>
      <c r="K15" s="148">
        <v>-0.1</v>
      </c>
      <c r="L15" s="148">
        <v>3.7</v>
      </c>
      <c r="M15" s="148">
        <v>20.3</v>
      </c>
      <c r="N15" s="148">
        <v>-13</v>
      </c>
      <c r="O15" s="148">
        <v>16.8</v>
      </c>
      <c r="P15" s="148">
        <v>6.1</v>
      </c>
    </row>
    <row r="16" spans="2:16" s="111" customFormat="1" ht="75" customHeight="1">
      <c r="B16" s="133">
        <v>2013</v>
      </c>
      <c r="C16" s="17">
        <v>8.1</v>
      </c>
      <c r="D16" s="147">
        <v>9.6</v>
      </c>
      <c r="E16" s="147">
        <v>4.4000000000000004</v>
      </c>
      <c r="F16" s="147">
        <v>-1.2</v>
      </c>
      <c r="G16" s="147">
        <v>0.9</v>
      </c>
      <c r="H16" s="17">
        <v>5.3</v>
      </c>
      <c r="I16" s="147">
        <v>4.0999999999999996</v>
      </c>
      <c r="J16" s="147">
        <v>17.600000000000001</v>
      </c>
      <c r="K16" s="147">
        <v>0</v>
      </c>
      <c r="L16" s="147">
        <v>-24.3</v>
      </c>
      <c r="M16" s="147">
        <v>13.5</v>
      </c>
      <c r="N16" s="147">
        <v>-12.9</v>
      </c>
      <c r="O16" s="147">
        <v>8.6999999999999993</v>
      </c>
      <c r="P16" s="147">
        <v>8.6999999999999993</v>
      </c>
    </row>
    <row r="17" spans="2:16" s="111" customFormat="1" ht="75" customHeight="1">
      <c r="B17" s="132">
        <v>2014</v>
      </c>
      <c r="C17" s="117">
        <v>7.5</v>
      </c>
      <c r="D17" s="148">
        <v>9</v>
      </c>
      <c r="E17" s="148">
        <v>8.8000000000000007</v>
      </c>
      <c r="F17" s="148">
        <v>-0.4</v>
      </c>
      <c r="G17" s="148">
        <v>-4.2</v>
      </c>
      <c r="H17" s="117">
        <v>7.1</v>
      </c>
      <c r="I17" s="148">
        <v>4.0999999999999996</v>
      </c>
      <c r="J17" s="148">
        <v>16.100000000000001</v>
      </c>
      <c r="K17" s="148">
        <v>2.2999999999999998</v>
      </c>
      <c r="L17" s="148">
        <v>-33.200000000000003</v>
      </c>
      <c r="M17" s="148">
        <v>11.1</v>
      </c>
      <c r="N17" s="148">
        <v>-4.0999999999999996</v>
      </c>
      <c r="O17" s="148">
        <v>15.2</v>
      </c>
      <c r="P17" s="148">
        <v>12.2</v>
      </c>
    </row>
    <row r="18" spans="2:16" s="111" customFormat="1" ht="75" customHeight="1">
      <c r="B18" s="133">
        <v>2015</v>
      </c>
      <c r="C18" s="17">
        <v>6.4</v>
      </c>
      <c r="D18" s="147">
        <v>7.5</v>
      </c>
      <c r="E18" s="147">
        <v>5.9</v>
      </c>
      <c r="F18" s="147">
        <v>-0.1</v>
      </c>
      <c r="G18" s="147">
        <v>-0.4</v>
      </c>
      <c r="H18" s="17">
        <v>8.6999999999999993</v>
      </c>
      <c r="I18" s="147">
        <v>4.12</v>
      </c>
      <c r="J18" s="147">
        <v>13.8</v>
      </c>
      <c r="K18" s="147">
        <v>2.2000000000000002</v>
      </c>
      <c r="L18" s="147">
        <v>11.9</v>
      </c>
      <c r="M18" s="147">
        <v>4.4000000000000004</v>
      </c>
      <c r="N18" s="147">
        <v>-4.0599999999999996</v>
      </c>
      <c r="O18" s="147">
        <v>18.3</v>
      </c>
      <c r="P18" s="147">
        <v>12.17</v>
      </c>
    </row>
    <row r="19" spans="2:16" s="111" customFormat="1" ht="75" customHeight="1">
      <c r="B19" s="132">
        <v>2016</v>
      </c>
      <c r="C19" s="117">
        <v>7</v>
      </c>
      <c r="D19" s="148">
        <v>7.9</v>
      </c>
      <c r="E19" s="148">
        <v>7.4</v>
      </c>
      <c r="F19" s="148">
        <v>-1.1000000000000001</v>
      </c>
      <c r="G19" s="148">
        <v>2.7</v>
      </c>
      <c r="H19" s="117">
        <v>7</v>
      </c>
      <c r="I19" s="148">
        <v>-2.6</v>
      </c>
      <c r="J19" s="148">
        <v>13.4</v>
      </c>
      <c r="K19" s="148">
        <v>2.5</v>
      </c>
      <c r="L19" s="148">
        <v>11.9</v>
      </c>
      <c r="M19" s="148">
        <v>6.6</v>
      </c>
      <c r="N19" s="148">
        <v>-16.7</v>
      </c>
      <c r="O19" s="148">
        <v>15</v>
      </c>
      <c r="P19" s="148">
        <v>13.8</v>
      </c>
    </row>
    <row r="20" spans="2:16" s="111" customFormat="1" ht="75" customHeight="1">
      <c r="B20" s="133">
        <v>2017</v>
      </c>
      <c r="C20" s="17">
        <v>6.3</v>
      </c>
      <c r="D20" s="147">
        <v>7.4</v>
      </c>
      <c r="E20" s="147">
        <v>-0.5</v>
      </c>
      <c r="F20" s="147">
        <v>-0.5</v>
      </c>
      <c r="G20" s="147">
        <v>0.8</v>
      </c>
      <c r="H20" s="17">
        <v>7.3</v>
      </c>
      <c r="I20" s="147">
        <v>-14</v>
      </c>
      <c r="J20" s="147">
        <v>11.4</v>
      </c>
      <c r="K20" s="147">
        <v>0.7</v>
      </c>
      <c r="L20" s="147">
        <v>-8.1</v>
      </c>
      <c r="M20" s="147">
        <v>8</v>
      </c>
      <c r="N20" s="147">
        <v>-17.600000000000001</v>
      </c>
      <c r="O20" s="147">
        <v>12.9</v>
      </c>
      <c r="P20" s="147">
        <v>15.8</v>
      </c>
    </row>
    <row r="21" spans="2:16" s="111" customFormat="1" ht="75" customHeight="1">
      <c r="B21" s="132">
        <v>2018</v>
      </c>
      <c r="C21" s="117">
        <v>8.8000000000000007</v>
      </c>
      <c r="D21" s="148">
        <v>10.199999999999999</v>
      </c>
      <c r="E21" s="148">
        <v>4</v>
      </c>
      <c r="F21" s="148">
        <v>-1.6</v>
      </c>
      <c r="G21" s="148">
        <v>0.79</v>
      </c>
      <c r="H21" s="117">
        <v>7</v>
      </c>
      <c r="I21" s="148">
        <v>1.87</v>
      </c>
      <c r="J21" s="148">
        <v>10.37</v>
      </c>
      <c r="K21" s="148">
        <v>0.63</v>
      </c>
      <c r="L21" s="148">
        <v>-0.4</v>
      </c>
      <c r="M21" s="148">
        <v>7.48</v>
      </c>
      <c r="N21" s="148">
        <v>-28.12</v>
      </c>
      <c r="O21" s="148">
        <v>14.29</v>
      </c>
      <c r="P21" s="148">
        <v>12.68</v>
      </c>
    </row>
    <row r="22" spans="2:16" s="111" customFormat="1" ht="75" customHeight="1">
      <c r="B22" s="133">
        <v>2019</v>
      </c>
      <c r="C22" s="17">
        <v>8.1</v>
      </c>
      <c r="D22" s="147">
        <v>9.4</v>
      </c>
      <c r="E22" s="147">
        <v>6.4</v>
      </c>
      <c r="F22" s="147">
        <v>-1.2</v>
      </c>
      <c r="G22" s="147">
        <v>-2.2999999999999998</v>
      </c>
      <c r="H22" s="17">
        <v>7.9</v>
      </c>
      <c r="I22" s="147">
        <v>3.3</v>
      </c>
      <c r="J22" s="147">
        <v>9.5</v>
      </c>
      <c r="K22" s="147">
        <v>1.9</v>
      </c>
      <c r="L22" s="147">
        <v>6.4</v>
      </c>
      <c r="M22" s="147">
        <v>6.7</v>
      </c>
      <c r="N22" s="147">
        <v>-61.9</v>
      </c>
      <c r="O22" s="147">
        <v>13.4</v>
      </c>
      <c r="P22" s="147">
        <v>12.5</v>
      </c>
    </row>
    <row r="23" spans="2:16" s="111" customFormat="1" ht="75" customHeight="1">
      <c r="B23" s="132">
        <v>2020</v>
      </c>
      <c r="C23" s="117">
        <v>2.5</v>
      </c>
      <c r="D23" s="148">
        <v>2.9</v>
      </c>
      <c r="E23" s="148">
        <v>7.6</v>
      </c>
      <c r="F23" s="148">
        <v>-3.5</v>
      </c>
      <c r="G23" s="148">
        <v>-2.4</v>
      </c>
      <c r="H23" s="117">
        <v>-1</v>
      </c>
      <c r="I23" s="148">
        <v>1.4</v>
      </c>
      <c r="J23" s="148">
        <v>6.8</v>
      </c>
      <c r="K23" s="148">
        <v>-10.3</v>
      </c>
      <c r="L23" s="148">
        <v>-6.1</v>
      </c>
      <c r="M23" s="148">
        <v>6.2</v>
      </c>
      <c r="N23" s="148" t="s">
        <v>94</v>
      </c>
      <c r="O23" s="148">
        <v>-0.9</v>
      </c>
      <c r="P23" s="148">
        <v>3.8</v>
      </c>
    </row>
    <row r="24" spans="2:16" s="111" customFormat="1" ht="75" customHeight="1">
      <c r="B24" s="133">
        <v>2021</v>
      </c>
      <c r="C24" s="17">
        <v>5.9</v>
      </c>
      <c r="D24" s="147">
        <v>6.6</v>
      </c>
      <c r="E24" s="147">
        <v>4.3</v>
      </c>
      <c r="F24" s="147">
        <v>-0.8</v>
      </c>
      <c r="G24" s="147">
        <v>0.7</v>
      </c>
      <c r="H24" s="17">
        <v>7.8</v>
      </c>
      <c r="I24" s="147">
        <v>3</v>
      </c>
      <c r="J24" s="147">
        <v>6.7</v>
      </c>
      <c r="K24" s="147">
        <v>-3.3</v>
      </c>
      <c r="L24" s="147">
        <v>1</v>
      </c>
      <c r="M24" s="147">
        <v>9.1</v>
      </c>
      <c r="N24" s="147" t="s">
        <v>94</v>
      </c>
      <c r="O24" s="147">
        <v>16.5</v>
      </c>
      <c r="P24" s="147">
        <v>5.9</v>
      </c>
    </row>
    <row r="25" spans="2:16" s="111" customFormat="1" ht="75" customHeight="1">
      <c r="B25" s="150" t="s">
        <v>160</v>
      </c>
      <c r="C25" s="117">
        <v>7.8816426762600127</v>
      </c>
      <c r="D25" s="148">
        <v>8.9</v>
      </c>
      <c r="E25" s="148">
        <v>4.4000000000000004</v>
      </c>
      <c r="F25" s="148">
        <v>1.0460666910402909</v>
      </c>
      <c r="G25" s="148">
        <v>-0.86689456622268979</v>
      </c>
      <c r="H25" s="117">
        <v>11.728633434561306</v>
      </c>
      <c r="I25" s="148">
        <v>-4.481128969755023</v>
      </c>
      <c r="J25" s="148">
        <v>5.5386511125325582</v>
      </c>
      <c r="K25" s="148">
        <v>1.1340769684214074</v>
      </c>
      <c r="L25" s="148">
        <v>-105.97370453575917</v>
      </c>
      <c r="M25" s="148">
        <v>14.189673013111506</v>
      </c>
      <c r="N25" s="148" t="s">
        <v>94</v>
      </c>
      <c r="O25" s="148">
        <v>26.423398963585935</v>
      </c>
      <c r="P25" s="148">
        <v>10.736276409646994</v>
      </c>
    </row>
    <row r="26" spans="2:16" s="111" customFormat="1" ht="75" customHeight="1">
      <c r="B26" s="133" t="s">
        <v>159</v>
      </c>
      <c r="C26" s="17">
        <v>8.7370508936993172</v>
      </c>
      <c r="D26" s="147">
        <v>9.2062013117545334</v>
      </c>
      <c r="E26" s="147">
        <v>8.8290263576240662</v>
      </c>
      <c r="F26" s="147">
        <v>-4.9490196304707704E-2</v>
      </c>
      <c r="G26" s="147">
        <v>-2.4068191540696042</v>
      </c>
      <c r="H26" s="17">
        <v>10.891763680780532</v>
      </c>
      <c r="I26" s="147">
        <v>-4.636057217276413</v>
      </c>
      <c r="J26" s="147">
        <v>6.3436496294756148</v>
      </c>
      <c r="K26" s="147">
        <v>2.4199569084092762</v>
      </c>
      <c r="L26" s="147">
        <v>-0.16962766534874399</v>
      </c>
      <c r="M26" s="147">
        <v>14.326327599344097</v>
      </c>
      <c r="N26" s="147" t="s">
        <v>94</v>
      </c>
      <c r="O26" s="147">
        <v>19.064737808990749</v>
      </c>
      <c r="P26" s="147">
        <v>7.3338964759277134</v>
      </c>
    </row>
    <row r="27" spans="2:16" s="111" customFormat="1" ht="75" customHeight="1">
      <c r="B27" s="150" t="s">
        <v>158</v>
      </c>
      <c r="C27" s="117">
        <v>9.9174029786391333</v>
      </c>
      <c r="D27" s="148">
        <v>10.952405635045228</v>
      </c>
      <c r="E27" s="148">
        <v>5.5705992455464042</v>
      </c>
      <c r="F27" s="148">
        <v>0.37930660564429991</v>
      </c>
      <c r="G27" s="148">
        <v>-0.61430921467924282</v>
      </c>
      <c r="H27" s="117">
        <v>9.392273669892095</v>
      </c>
      <c r="I27" s="148">
        <v>3.8558130774927273</v>
      </c>
      <c r="J27" s="148">
        <v>9.5632795151753065</v>
      </c>
      <c r="K27" s="148">
        <v>-0.69746090379485137</v>
      </c>
      <c r="L27" s="148">
        <v>-0.54144391532525715</v>
      </c>
      <c r="M27" s="148">
        <v>13.124326372443274</v>
      </c>
      <c r="N27" s="148" t="s">
        <v>94</v>
      </c>
      <c r="O27" s="148">
        <v>12.605517736965096</v>
      </c>
      <c r="P27" s="148">
        <v>12.952331480528443</v>
      </c>
    </row>
    <row r="28" spans="2:16" s="111" customFormat="1" ht="75" customHeight="1">
      <c r="B28" s="152" t="s">
        <v>165</v>
      </c>
      <c r="C28" s="153">
        <v>10.184764381629725</v>
      </c>
      <c r="D28" s="154">
        <v>10.820402480390843</v>
      </c>
      <c r="E28" s="154">
        <v>9.3384708394985481</v>
      </c>
      <c r="F28" s="154">
        <v>3.9185671273476372</v>
      </c>
      <c r="G28" s="154">
        <v>0.33976570463529088</v>
      </c>
      <c r="H28" s="153">
        <v>10.625167146416578</v>
      </c>
      <c r="I28" s="154">
        <v>5.7070967889015316</v>
      </c>
      <c r="J28" s="154">
        <v>12.984569877607562</v>
      </c>
      <c r="K28" s="154">
        <v>0.44111877549063716</v>
      </c>
      <c r="L28" s="154">
        <v>11.015982107960955</v>
      </c>
      <c r="M28" s="154">
        <v>13.136263101480452</v>
      </c>
      <c r="N28" s="154" t="s">
        <v>94</v>
      </c>
      <c r="O28" s="154">
        <v>13.001936616158567</v>
      </c>
      <c r="P28" s="154">
        <v>11.264457941793014</v>
      </c>
    </row>
    <row r="29" spans="2:16" s="108" customFormat="1" ht="10.15" customHeight="1"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2:16" s="87" customFormat="1" ht="30" customHeight="1">
      <c r="B30" s="78" t="s">
        <v>67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190" t="s">
        <v>93</v>
      </c>
      <c r="P30" s="190"/>
    </row>
    <row r="31" spans="2:16" s="87" customFormat="1" ht="30" customHeight="1">
      <c r="B31" s="78" t="s">
        <v>155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P31" s="140" t="s">
        <v>156</v>
      </c>
    </row>
    <row r="32" spans="2:16" s="87" customFormat="1" ht="30" customHeight="1">
      <c r="B32" s="41" t="s">
        <v>157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208" t="s">
        <v>139</v>
      </c>
      <c r="P32" s="208"/>
    </row>
    <row r="33" spans="2:16" s="87" customFormat="1" ht="30" customHeight="1">
      <c r="B33" s="42" t="s">
        <v>140</v>
      </c>
      <c r="C33" s="43"/>
      <c r="D33" s="43"/>
      <c r="E33" s="43"/>
      <c r="F33" s="43"/>
      <c r="G33" s="78"/>
      <c r="H33" s="78"/>
      <c r="I33" s="78"/>
      <c r="J33" s="78"/>
      <c r="K33" s="44"/>
      <c r="L33" s="44"/>
      <c r="M33" s="44"/>
      <c r="N33" s="44"/>
      <c r="O33" s="44"/>
      <c r="P33" s="45" t="s">
        <v>144</v>
      </c>
    </row>
    <row r="41" spans="2:16" ht="1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 ht="1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2:16" ht="1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 ht="1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2:16" ht="1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2:16" ht="1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2:16" ht="1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2:16" ht="1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2:16" ht="15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2:16" ht="15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2:16" ht="1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2:16" ht="15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2:16" ht="15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2:16" ht="15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2:16" ht="1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2:16" ht="1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2:16" ht="1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2:16" ht="15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2:16" ht="1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2:16" ht="1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2:16" ht="1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2:16" ht="1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2:16" ht="1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2:16" ht="1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2:16" ht="1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2:16" ht="1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2:16" ht="1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2:16" ht="1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6" ht="1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2:16" ht="1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2:16" ht="1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2:16" ht="1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2:16" ht="1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2:16" ht="1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2:16" ht="1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2:16" ht="1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</sheetData>
  <sortState ref="B39:P52">
    <sortCondition descending="1" ref="B39"/>
  </sortState>
  <mergeCells count="10">
    <mergeCell ref="O32:P32"/>
    <mergeCell ref="C6:G6"/>
    <mergeCell ref="H6:P6"/>
    <mergeCell ref="C4:O4"/>
    <mergeCell ref="O2:P2"/>
    <mergeCell ref="B3:B4"/>
    <mergeCell ref="E2:M2"/>
    <mergeCell ref="B2:D2"/>
    <mergeCell ref="O30:P30"/>
    <mergeCell ref="C3:O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P34"/>
  <sheetViews>
    <sheetView rightToLeft="1" zoomScale="40" zoomScaleNormal="40" workbookViewId="0">
      <selection activeCell="E2" sqref="E2:L2"/>
    </sheetView>
  </sheetViews>
  <sheetFormatPr defaultColWidth="9.140625" defaultRowHeight="15.75"/>
  <cols>
    <col min="1" max="1" width="10.7109375" customWidth="1"/>
    <col min="2" max="2" width="25.7109375" style="1" customWidth="1"/>
    <col min="3" max="15" width="30.7109375" style="1" customWidth="1"/>
    <col min="16" max="16" width="13.7109375" customWidth="1"/>
  </cols>
  <sheetData>
    <row r="1" spans="2:15" ht="18" customHeight="1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15" s="82" customFormat="1" ht="40.15" customHeight="1">
      <c r="B2" s="226" t="s">
        <v>130</v>
      </c>
      <c r="C2" s="227"/>
      <c r="D2" s="228"/>
      <c r="E2" s="229" t="s">
        <v>105</v>
      </c>
      <c r="F2" s="230"/>
      <c r="G2" s="230"/>
      <c r="H2" s="230"/>
      <c r="I2" s="230"/>
      <c r="J2" s="230"/>
      <c r="K2" s="230"/>
      <c r="L2" s="231"/>
      <c r="M2" s="125"/>
      <c r="N2" s="219" t="s">
        <v>106</v>
      </c>
      <c r="O2" s="219"/>
    </row>
    <row r="3" spans="2:15" s="82" customFormat="1" ht="40.15" customHeight="1">
      <c r="B3" s="222"/>
      <c r="C3" s="225" t="s">
        <v>148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126" t="s">
        <v>141</v>
      </c>
    </row>
    <row r="4" spans="2:15" s="82" customFormat="1" ht="40.15" customHeight="1">
      <c r="B4" s="223"/>
      <c r="C4" s="218" t="s">
        <v>146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127" t="s">
        <v>142</v>
      </c>
    </row>
    <row r="5" spans="2:15" ht="10.15" customHeight="1">
      <c r="B5" s="120"/>
      <c r="C5" s="121"/>
      <c r="D5" s="122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4"/>
    </row>
    <row r="6" spans="2:15" ht="120" customHeight="1">
      <c r="B6" s="220"/>
      <c r="C6" s="149"/>
      <c r="D6" s="211" t="s">
        <v>87</v>
      </c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16" t="s">
        <v>98</v>
      </c>
    </row>
    <row r="7" spans="2:15" ht="120" customHeight="1">
      <c r="B7" s="221"/>
      <c r="C7" s="145"/>
      <c r="D7" s="144" t="s">
        <v>52</v>
      </c>
      <c r="E7" s="109" t="s">
        <v>51</v>
      </c>
      <c r="F7" s="109" t="s">
        <v>50</v>
      </c>
      <c r="G7" s="109" t="s">
        <v>49</v>
      </c>
      <c r="H7" s="109" t="s">
        <v>48</v>
      </c>
      <c r="I7" s="109" t="s">
        <v>47</v>
      </c>
      <c r="J7" s="109" t="s">
        <v>46</v>
      </c>
      <c r="K7" s="109" t="s">
        <v>45</v>
      </c>
      <c r="L7" s="109" t="s">
        <v>44</v>
      </c>
      <c r="M7" s="109" t="s">
        <v>43</v>
      </c>
      <c r="N7" s="109" t="s">
        <v>42</v>
      </c>
      <c r="O7" s="217"/>
    </row>
    <row r="8" spans="2:15" ht="50.1" customHeight="1">
      <c r="B8" s="48"/>
      <c r="C8" s="143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47"/>
    </row>
    <row r="9" spans="2:15" ht="120" customHeight="1">
      <c r="B9" s="33"/>
      <c r="C9" s="80"/>
      <c r="D9" s="95" t="s">
        <v>39</v>
      </c>
      <c r="E9" s="95" t="s">
        <v>38</v>
      </c>
      <c r="F9" s="95" t="s">
        <v>37</v>
      </c>
      <c r="G9" s="95" t="s">
        <v>36</v>
      </c>
      <c r="H9" s="95" t="s">
        <v>35</v>
      </c>
      <c r="I9" s="95" t="s">
        <v>34</v>
      </c>
      <c r="J9" s="95" t="s">
        <v>33</v>
      </c>
      <c r="K9" s="95" t="s">
        <v>32</v>
      </c>
      <c r="L9" s="95" t="s">
        <v>31</v>
      </c>
      <c r="M9" s="95" t="s">
        <v>30</v>
      </c>
      <c r="N9" s="95" t="s">
        <v>29</v>
      </c>
      <c r="O9" s="129" t="s">
        <v>78</v>
      </c>
    </row>
    <row r="10" spans="2:15" ht="70.5" customHeight="1">
      <c r="B10" s="22" t="s">
        <v>79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s="19" customFormat="1" ht="75" customHeight="1">
      <c r="B11" s="116">
        <v>2008</v>
      </c>
      <c r="C11" s="128">
        <v>24.735158141514674</v>
      </c>
      <c r="D11" s="148">
        <v>2.2262675383569803</v>
      </c>
      <c r="E11" s="148">
        <v>-8.7035695970451954</v>
      </c>
      <c r="F11" s="148">
        <v>3.8</v>
      </c>
      <c r="G11" s="148">
        <v>10.245408463563766</v>
      </c>
      <c r="H11" s="148">
        <v>1.4610373816103139</v>
      </c>
      <c r="I11" s="148">
        <v>16.2</v>
      </c>
      <c r="J11" s="148">
        <v>42.767846334553333</v>
      </c>
      <c r="K11" s="148">
        <v>1.1863083726547661</v>
      </c>
      <c r="L11" s="148">
        <v>-2.5448539838216857</v>
      </c>
      <c r="M11" s="148">
        <v>-1.6838968413039197</v>
      </c>
      <c r="N11" s="148">
        <v>-3.5728945622451764</v>
      </c>
      <c r="O11" s="117">
        <v>11.04538255720046</v>
      </c>
    </row>
    <row r="12" spans="2:15" s="19" customFormat="1" ht="75" customHeight="1">
      <c r="B12" s="16">
        <v>2009</v>
      </c>
      <c r="C12" s="20">
        <v>10.690392050107096</v>
      </c>
      <c r="D12" s="147">
        <v>6.3891954774217075</v>
      </c>
      <c r="E12" s="147">
        <v>2.2743844948540075</v>
      </c>
      <c r="F12" s="147">
        <v>-12.3</v>
      </c>
      <c r="G12" s="147">
        <v>5.169934958806091</v>
      </c>
      <c r="H12" s="147">
        <v>2.7809107947200542</v>
      </c>
      <c r="I12" s="147">
        <v>14.4</v>
      </c>
      <c r="J12" s="147">
        <v>17.922963607197122</v>
      </c>
      <c r="K12" s="147">
        <v>-3.7161610719542497</v>
      </c>
      <c r="L12" s="147">
        <v>-8.7883420971724977</v>
      </c>
      <c r="M12" s="147">
        <v>0.43787586303391962</v>
      </c>
      <c r="N12" s="147">
        <v>-12.234215441572278</v>
      </c>
      <c r="O12" s="17">
        <v>5.4323146004091383</v>
      </c>
    </row>
    <row r="13" spans="2:15" s="19" customFormat="1" ht="75" customHeight="1">
      <c r="B13" s="116">
        <v>2010</v>
      </c>
      <c r="C13" s="128">
        <v>9.5</v>
      </c>
      <c r="D13" s="148">
        <v>8.9629013432452496</v>
      </c>
      <c r="E13" s="148">
        <v>2.7070374607411791</v>
      </c>
      <c r="F13" s="148">
        <v>-32.4</v>
      </c>
      <c r="G13" s="148">
        <v>6.8</v>
      </c>
      <c r="H13" s="148">
        <v>3.1066474285628556</v>
      </c>
      <c r="I13" s="148">
        <v>22.6</v>
      </c>
      <c r="J13" s="148">
        <v>14.966501919189241</v>
      </c>
      <c r="K13" s="148">
        <v>-4.4401629040151773</v>
      </c>
      <c r="L13" s="148">
        <v>-19.2</v>
      </c>
      <c r="M13" s="148">
        <v>3.795691298668797</v>
      </c>
      <c r="N13" s="148">
        <v>-15.977790133378614</v>
      </c>
      <c r="O13" s="117">
        <v>5.4</v>
      </c>
    </row>
    <row r="14" spans="2:15" s="19" customFormat="1" ht="75" customHeight="1">
      <c r="B14" s="16">
        <v>2011</v>
      </c>
      <c r="C14" s="20">
        <v>20.100000000000001</v>
      </c>
      <c r="D14" s="147">
        <v>-6.9</v>
      </c>
      <c r="E14" s="147">
        <v>3.9</v>
      </c>
      <c r="F14" s="147">
        <v>-2.2000000000000002</v>
      </c>
      <c r="G14" s="147">
        <v>4.3</v>
      </c>
      <c r="H14" s="147">
        <v>-4.5999999999999996</v>
      </c>
      <c r="I14" s="147">
        <v>23</v>
      </c>
      <c r="J14" s="147">
        <v>27.9</v>
      </c>
      <c r="K14" s="147">
        <v>-1.4</v>
      </c>
      <c r="L14" s="147">
        <v>-16.5</v>
      </c>
      <c r="M14" s="147">
        <v>5.5</v>
      </c>
      <c r="N14" s="147">
        <v>-30.193209953071978</v>
      </c>
      <c r="O14" s="17">
        <v>7.7</v>
      </c>
    </row>
    <row r="15" spans="2:15" s="19" customFormat="1" ht="75" customHeight="1">
      <c r="B15" s="132">
        <v>2012</v>
      </c>
      <c r="C15" s="128">
        <v>12.2</v>
      </c>
      <c r="D15" s="148">
        <v>-5.2</v>
      </c>
      <c r="E15" s="148">
        <v>4.5999999999999996</v>
      </c>
      <c r="F15" s="148">
        <v>-11.2</v>
      </c>
      <c r="G15" s="148">
        <v>4.8</v>
      </c>
      <c r="H15" s="148">
        <v>2</v>
      </c>
      <c r="I15" s="148">
        <v>25.5</v>
      </c>
      <c r="J15" s="148">
        <v>15.6</v>
      </c>
      <c r="K15" s="148">
        <v>-0.4</v>
      </c>
      <c r="L15" s="148">
        <v>-11.9</v>
      </c>
      <c r="M15" s="148">
        <v>5.9</v>
      </c>
      <c r="N15" s="148">
        <v>-30.5</v>
      </c>
      <c r="O15" s="117">
        <v>8.1</v>
      </c>
    </row>
    <row r="16" spans="2:15" s="19" customFormat="1" ht="75" customHeight="1">
      <c r="B16" s="133">
        <v>2013</v>
      </c>
      <c r="C16" s="20">
        <v>5.8</v>
      </c>
      <c r="D16" s="147">
        <v>4</v>
      </c>
      <c r="E16" s="147">
        <v>5.4</v>
      </c>
      <c r="F16" s="147">
        <v>-19.2</v>
      </c>
      <c r="G16" s="147">
        <v>5.2</v>
      </c>
      <c r="H16" s="147">
        <v>5.8</v>
      </c>
      <c r="I16" s="147">
        <v>28.7</v>
      </c>
      <c r="J16" s="147">
        <v>5.9</v>
      </c>
      <c r="K16" s="147">
        <v>2.7</v>
      </c>
      <c r="L16" s="147">
        <v>-8</v>
      </c>
      <c r="M16" s="147">
        <v>4.2</v>
      </c>
      <c r="N16" s="147">
        <v>-178</v>
      </c>
      <c r="O16" s="17">
        <v>7.3</v>
      </c>
    </row>
    <row r="17" spans="2:16" s="19" customFormat="1" ht="75" customHeight="1">
      <c r="B17" s="132">
        <v>2014</v>
      </c>
      <c r="C17" s="128">
        <v>6.8</v>
      </c>
      <c r="D17" s="148">
        <v>0.9</v>
      </c>
      <c r="E17" s="148">
        <v>3</v>
      </c>
      <c r="F17" s="148">
        <v>-1.8</v>
      </c>
      <c r="G17" s="148">
        <v>5.6</v>
      </c>
      <c r="H17" s="148">
        <v>9.6</v>
      </c>
      <c r="I17" s="148">
        <v>26</v>
      </c>
      <c r="J17" s="148">
        <v>6.9</v>
      </c>
      <c r="K17" s="148">
        <v>3.4</v>
      </c>
      <c r="L17" s="148">
        <v>-8.3000000000000007</v>
      </c>
      <c r="M17" s="148">
        <v>3.5</v>
      </c>
      <c r="N17" s="148">
        <v>-48.6</v>
      </c>
      <c r="O17" s="117">
        <v>7.3</v>
      </c>
    </row>
    <row r="18" spans="2:16" s="19" customFormat="1" ht="75" customHeight="1">
      <c r="B18" s="133">
        <v>2015</v>
      </c>
      <c r="C18" s="20">
        <v>7.7</v>
      </c>
      <c r="D18" s="147">
        <v>-6.3</v>
      </c>
      <c r="E18" s="147">
        <v>-0.6</v>
      </c>
      <c r="F18" s="147">
        <v>-27.4</v>
      </c>
      <c r="G18" s="147">
        <v>6.9</v>
      </c>
      <c r="H18" s="147">
        <v>8</v>
      </c>
      <c r="I18" s="147">
        <v>29.5</v>
      </c>
      <c r="J18" s="147">
        <v>9.3000000000000007</v>
      </c>
      <c r="K18" s="147">
        <v>-0.8</v>
      </c>
      <c r="L18" s="147">
        <v>-36</v>
      </c>
      <c r="M18" s="147">
        <v>2.1</v>
      </c>
      <c r="N18" s="147" t="s">
        <v>94</v>
      </c>
      <c r="O18" s="17">
        <v>7</v>
      </c>
    </row>
    <row r="19" spans="2:16" s="19" customFormat="1" ht="75" customHeight="1">
      <c r="B19" s="132">
        <v>2016</v>
      </c>
      <c r="C19" s="128">
        <v>1.1000000000000001</v>
      </c>
      <c r="D19" s="148">
        <v>-2.5</v>
      </c>
      <c r="E19" s="148">
        <v>4.2</v>
      </c>
      <c r="F19" s="148">
        <v>-2.6</v>
      </c>
      <c r="G19" s="148">
        <v>11.9</v>
      </c>
      <c r="H19" s="148">
        <v>-0.4</v>
      </c>
      <c r="I19" s="148">
        <v>32</v>
      </c>
      <c r="J19" s="148">
        <v>-0.7</v>
      </c>
      <c r="K19" s="148">
        <v>5.6</v>
      </c>
      <c r="L19" s="148">
        <v>-3.7</v>
      </c>
      <c r="M19" s="148">
        <v>2.6</v>
      </c>
      <c r="N19" s="148" t="s">
        <v>94</v>
      </c>
      <c r="O19" s="117">
        <v>5.9</v>
      </c>
    </row>
    <row r="20" spans="2:16" s="19" customFormat="1" ht="75" customHeight="1">
      <c r="B20" s="133">
        <v>2017</v>
      </c>
      <c r="C20" s="20">
        <v>2.4</v>
      </c>
      <c r="D20" s="147">
        <v>-6.1</v>
      </c>
      <c r="E20" s="147">
        <v>0.1</v>
      </c>
      <c r="F20" s="147" t="s">
        <v>94</v>
      </c>
      <c r="G20" s="147">
        <v>12.2</v>
      </c>
      <c r="H20" s="147">
        <v>4.9000000000000004</v>
      </c>
      <c r="I20" s="147">
        <v>36.299999999999997</v>
      </c>
      <c r="J20" s="147">
        <v>0.5</v>
      </c>
      <c r="K20" s="147">
        <v>1.1000000000000001</v>
      </c>
      <c r="L20" s="147">
        <v>-1.8</v>
      </c>
      <c r="M20" s="147">
        <v>0.3</v>
      </c>
      <c r="N20" s="147" t="s">
        <v>94</v>
      </c>
      <c r="O20" s="17">
        <v>5.8</v>
      </c>
    </row>
    <row r="21" spans="2:16" s="19" customFormat="1" ht="75" customHeight="1">
      <c r="B21" s="132">
        <v>2018</v>
      </c>
      <c r="C21" s="128">
        <v>6.9</v>
      </c>
      <c r="D21" s="148">
        <v>-8.1999999999999993</v>
      </c>
      <c r="E21" s="148">
        <v>-0.9</v>
      </c>
      <c r="F21" s="148">
        <v>28.3</v>
      </c>
      <c r="G21" s="148">
        <v>1.1399999999999999</v>
      </c>
      <c r="H21" s="148">
        <v>1.4</v>
      </c>
      <c r="I21" s="148">
        <v>28.68</v>
      </c>
      <c r="J21" s="148">
        <v>7.68</v>
      </c>
      <c r="K21" s="148">
        <v>-4.28</v>
      </c>
      <c r="L21" s="148">
        <v>-6.8</v>
      </c>
      <c r="M21" s="148">
        <v>0.42</v>
      </c>
      <c r="N21" s="148" t="s">
        <v>94</v>
      </c>
      <c r="O21" s="117">
        <v>8.1999999999999993</v>
      </c>
    </row>
    <row r="22" spans="2:16" s="19" customFormat="1" ht="75" customHeight="1">
      <c r="B22" s="133">
        <v>2019</v>
      </c>
      <c r="C22" s="20">
        <v>5.5</v>
      </c>
      <c r="D22" s="147">
        <v>-14.2</v>
      </c>
      <c r="E22" s="147">
        <v>4.3</v>
      </c>
      <c r="F22" s="147" t="s">
        <v>94</v>
      </c>
      <c r="G22" s="147" t="s">
        <v>94</v>
      </c>
      <c r="H22" s="147">
        <v>3.6</v>
      </c>
      <c r="I22" s="147">
        <v>19.899999999999999</v>
      </c>
      <c r="J22" s="147">
        <v>6.5</v>
      </c>
      <c r="K22" s="147">
        <v>-13.5</v>
      </c>
      <c r="L22" s="147">
        <v>-6</v>
      </c>
      <c r="M22" s="147">
        <v>5.5</v>
      </c>
      <c r="N22" s="147" t="s">
        <v>94</v>
      </c>
      <c r="O22" s="17">
        <v>7.6</v>
      </c>
    </row>
    <row r="23" spans="2:16" s="19" customFormat="1" ht="75" customHeight="1">
      <c r="B23" s="132">
        <v>2020</v>
      </c>
      <c r="C23" s="128">
        <v>5.9</v>
      </c>
      <c r="D23" s="148">
        <v>17.899999999999999</v>
      </c>
      <c r="E23" s="148">
        <v>-3.4</v>
      </c>
      <c r="F23" s="148" t="s">
        <v>94</v>
      </c>
      <c r="G23" s="148" t="s">
        <v>94</v>
      </c>
      <c r="H23" s="148">
        <v>0.7</v>
      </c>
      <c r="I23" s="148">
        <v>-96</v>
      </c>
      <c r="J23" s="148">
        <v>9.5</v>
      </c>
      <c r="K23" s="148">
        <v>-28.8</v>
      </c>
      <c r="L23" s="148">
        <v>-3.9</v>
      </c>
      <c r="M23" s="148">
        <v>2.7</v>
      </c>
      <c r="N23" s="148" t="s">
        <v>94</v>
      </c>
      <c r="O23" s="117">
        <v>2.6</v>
      </c>
    </row>
    <row r="24" spans="2:16" s="19" customFormat="1" ht="75" customHeight="1">
      <c r="B24" s="133">
        <v>2021</v>
      </c>
      <c r="C24" s="20">
        <v>21.7</v>
      </c>
      <c r="D24" s="147">
        <v>6.2</v>
      </c>
      <c r="E24" s="147">
        <v>7.1</v>
      </c>
      <c r="F24" s="147" t="s">
        <v>94</v>
      </c>
      <c r="G24" s="147" t="s">
        <v>94</v>
      </c>
      <c r="H24" s="147">
        <v>9</v>
      </c>
      <c r="I24" s="147">
        <v>-5034.1000000000004</v>
      </c>
      <c r="J24" s="147">
        <v>26.4</v>
      </c>
      <c r="K24" s="147">
        <v>-8</v>
      </c>
      <c r="L24" s="147">
        <v>-2.6</v>
      </c>
      <c r="M24" s="147">
        <v>2.7</v>
      </c>
      <c r="N24" s="147" t="s">
        <v>94</v>
      </c>
      <c r="O24" s="17">
        <v>9</v>
      </c>
    </row>
    <row r="25" spans="2:16" s="111" customFormat="1" ht="75" customHeight="1">
      <c r="B25" s="150" t="s">
        <v>160</v>
      </c>
      <c r="C25" s="117">
        <v>36.496475371737183</v>
      </c>
      <c r="D25" s="148">
        <v>6.1948768966020547</v>
      </c>
      <c r="E25" s="148">
        <v>6.1213201489246156</v>
      </c>
      <c r="F25" s="148" t="s">
        <v>94</v>
      </c>
      <c r="G25" s="148" t="s">
        <v>94</v>
      </c>
      <c r="H25" s="148">
        <v>7.1716949621964554</v>
      </c>
      <c r="I25" s="148">
        <v>96.157488767077993</v>
      </c>
      <c r="J25" s="148">
        <v>41.377040584831725</v>
      </c>
      <c r="K25" s="148">
        <v>-4.22253075020034</v>
      </c>
      <c r="L25" s="148">
        <v>-2.2810840905052752</v>
      </c>
      <c r="M25" s="148">
        <v>3.6716548800693607</v>
      </c>
      <c r="N25" s="148" t="s">
        <v>94</v>
      </c>
      <c r="O25" s="117">
        <v>14.613131465714668</v>
      </c>
      <c r="P25" s="19"/>
    </row>
    <row r="26" spans="2:16" s="111" customFormat="1" ht="75" customHeight="1">
      <c r="B26" s="133" t="s">
        <v>159</v>
      </c>
      <c r="C26" s="17">
        <v>18.905754011935301</v>
      </c>
      <c r="D26" s="147">
        <v>1.4366115926980667</v>
      </c>
      <c r="E26" s="147">
        <v>0.81022004097017919</v>
      </c>
      <c r="F26" s="147" t="s">
        <v>94</v>
      </c>
      <c r="G26" s="147" t="s">
        <v>94</v>
      </c>
      <c r="H26" s="147">
        <v>8.1649612969649574</v>
      </c>
      <c r="I26" s="147">
        <v>-34.244600114228355</v>
      </c>
      <c r="J26" s="147">
        <v>21.402912957759714</v>
      </c>
      <c r="K26" s="147">
        <v>3.1743209003848145</v>
      </c>
      <c r="L26" s="147">
        <v>-0.83722739033817106</v>
      </c>
      <c r="M26" s="147">
        <v>3.3248073721267173</v>
      </c>
      <c r="N26" s="147" t="s">
        <v>94</v>
      </c>
      <c r="O26" s="17">
        <v>11.298995250836283</v>
      </c>
      <c r="P26" s="19"/>
    </row>
    <row r="27" spans="2:16" s="111" customFormat="1" ht="75" customHeight="1">
      <c r="B27" s="150" t="s">
        <v>158</v>
      </c>
      <c r="C27" s="117">
        <v>16.444729877070124</v>
      </c>
      <c r="D27" s="148">
        <v>7.4124685826507219</v>
      </c>
      <c r="E27" s="148">
        <v>8.7627750729203626</v>
      </c>
      <c r="F27" s="148" t="s">
        <v>94</v>
      </c>
      <c r="G27" s="148" t="s">
        <v>94</v>
      </c>
      <c r="H27" s="148">
        <v>4.6797713594757484</v>
      </c>
      <c r="I27" s="148" t="s">
        <v>94</v>
      </c>
      <c r="J27" s="148">
        <v>18.217092629406846</v>
      </c>
      <c r="K27" s="148">
        <v>2.8176593444042428</v>
      </c>
      <c r="L27" s="148">
        <v>-0.9349888804428923</v>
      </c>
      <c r="M27" s="148">
        <v>3.8770728185765373</v>
      </c>
      <c r="N27" s="148" t="s">
        <v>94</v>
      </c>
      <c r="O27" s="117">
        <v>11.282313352595517</v>
      </c>
      <c r="P27" s="19"/>
    </row>
    <row r="28" spans="2:16" s="111" customFormat="1" ht="75" customHeight="1">
      <c r="B28" s="152" t="s">
        <v>165</v>
      </c>
      <c r="C28" s="153">
        <v>17.303724852300469</v>
      </c>
      <c r="D28" s="154">
        <v>9.1373005520296395</v>
      </c>
      <c r="E28" s="154">
        <v>9.335081985057343</v>
      </c>
      <c r="F28" s="154" t="s">
        <v>94</v>
      </c>
      <c r="G28" s="154" t="s">
        <v>94</v>
      </c>
      <c r="H28" s="154">
        <v>0.35662346740653567</v>
      </c>
      <c r="I28" s="154" t="s">
        <v>94</v>
      </c>
      <c r="J28" s="154">
        <v>19.266625687820095</v>
      </c>
      <c r="K28" s="154">
        <v>3.2040149849433188</v>
      </c>
      <c r="L28" s="154">
        <v>1.2724886341481512</v>
      </c>
      <c r="M28" s="154">
        <v>4.4559550532232883</v>
      </c>
      <c r="N28" s="154" t="s">
        <v>94</v>
      </c>
      <c r="O28" s="153">
        <v>11.818301346666487</v>
      </c>
      <c r="P28" s="19"/>
    </row>
    <row r="29" spans="2:16" s="108" customFormat="1" ht="10.15" customHeight="1"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</row>
    <row r="30" spans="2:16" s="87" customFormat="1" ht="30" customHeight="1">
      <c r="B30" s="78" t="s">
        <v>67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 t="s">
        <v>93</v>
      </c>
    </row>
    <row r="31" spans="2:16" s="87" customFormat="1" ht="30" customHeight="1">
      <c r="B31" s="78" t="s">
        <v>155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 t="s">
        <v>156</v>
      </c>
    </row>
    <row r="32" spans="2:16" s="87" customFormat="1" ht="30" customHeight="1">
      <c r="B32" s="41" t="s">
        <v>157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118" t="s">
        <v>139</v>
      </c>
    </row>
    <row r="33" spans="2:15" s="87" customFormat="1" ht="30" customHeight="1">
      <c r="B33" s="42" t="s">
        <v>140</v>
      </c>
      <c r="C33" s="119"/>
      <c r="D33" s="119"/>
      <c r="E33" s="119"/>
      <c r="F33" s="119"/>
      <c r="G33" s="78"/>
      <c r="H33" s="78"/>
      <c r="I33" s="78"/>
      <c r="J33" s="44"/>
      <c r="K33" s="44"/>
      <c r="L33" s="44"/>
      <c r="M33" s="44"/>
      <c r="N33" s="44"/>
      <c r="O33" s="45" t="s">
        <v>144</v>
      </c>
    </row>
    <row r="34" spans="2:15" ht="38.25" customHeight="1">
      <c r="M34" s="215" t="s">
        <v>96</v>
      </c>
      <c r="N34" s="215"/>
      <c r="O34" s="215"/>
    </row>
  </sheetData>
  <sortState ref="B76:C89">
    <sortCondition descending="1" ref="B76"/>
  </sortState>
  <mergeCells count="10">
    <mergeCell ref="M34:O34"/>
    <mergeCell ref="O6:O7"/>
    <mergeCell ref="C4:N4"/>
    <mergeCell ref="N2:O2"/>
    <mergeCell ref="B6:B7"/>
    <mergeCell ref="B3:B4"/>
    <mergeCell ref="D6:N6"/>
    <mergeCell ref="C3:N3"/>
    <mergeCell ref="B2:D2"/>
    <mergeCell ref="E2:L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بورصة عمان</vt:lpstr>
      <vt:lpstr>59a</vt:lpstr>
      <vt:lpstr>59b</vt:lpstr>
      <vt:lpstr>60a</vt:lpstr>
      <vt:lpstr>60b</vt:lpstr>
      <vt:lpstr>61</vt:lpstr>
      <vt:lpstr>62a</vt:lpstr>
      <vt:lpstr>62b</vt:lpstr>
      <vt:lpstr>'59a'!Print_Area</vt:lpstr>
      <vt:lpstr>'59b'!Print_Area</vt:lpstr>
      <vt:lpstr>'60a'!Print_Area</vt:lpstr>
      <vt:lpstr>'60b'!Print_Area</vt:lpstr>
      <vt:lpstr>'61'!Print_Area</vt:lpstr>
      <vt:lpstr>'62a'!Print_Area</vt:lpstr>
      <vt:lpstr>'62b'!Print_Area</vt:lpstr>
      <vt:lpstr>'بورصة عمان'!Print_Area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CBJ\NS-27600</vt:lpwstr>
  </property>
  <property fmtid="{D5CDD505-2E9C-101B-9397-08002B2CF9AE}" pid="4" name="DLPManualFileClassificationLastModificationDate">
    <vt:lpwstr>1730631350</vt:lpwstr>
  </property>
  <property fmtid="{D5CDD505-2E9C-101B-9397-08002B2CF9AE}" pid="5" name="DLPManualFileClassificationVersion">
    <vt:lpwstr>11.10.100.17</vt:lpwstr>
  </property>
</Properties>
</file>